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EPRI\MiscDevelopmentFiles\Builds\Staged\DEPLOY_Documents\Excel\"/>
    </mc:Choice>
  </mc:AlternateContent>
  <bookViews>
    <workbookView xWindow="0" yWindow="105" windowWidth="15195" windowHeight="7935"/>
  </bookViews>
  <sheets>
    <sheet name="UF &amp; FSU - E&amp;G PLI +HEPI" sheetId="2" r:id="rId1"/>
  </sheets>
  <calcPr calcId="162913"/>
</workbook>
</file>

<file path=xl/calcChain.xml><?xml version="1.0" encoding="utf-8"?>
<calcChain xmlns="http://schemas.openxmlformats.org/spreadsheetml/2006/main">
  <c r="I125" i="2" l="1"/>
  <c r="I126" i="2"/>
  <c r="I172" i="2" s="1"/>
  <c r="I110" i="2"/>
  <c r="I129" i="2" s="1"/>
  <c r="I106" i="2"/>
  <c r="I95" i="2"/>
  <c r="H179" i="2"/>
  <c r="E95" i="2"/>
  <c r="E139" i="2" s="1"/>
  <c r="E141" i="2" s="1"/>
  <c r="E177" i="2" s="1"/>
  <c r="E180" i="2" s="1"/>
  <c r="F139" i="2" s="1"/>
  <c r="F141" i="2" s="1"/>
  <c r="F177" i="2" s="1"/>
  <c r="F180" i="2" s="1"/>
  <c r="G139" i="2" s="1"/>
  <c r="G141" i="2" s="1"/>
  <c r="G177" i="2" s="1"/>
  <c r="G180" i="2" s="1"/>
  <c r="H139" i="2" s="1"/>
  <c r="H141" i="2" s="1"/>
  <c r="H177" i="2" s="1"/>
  <c r="E174" i="2"/>
  <c r="E173" i="2"/>
  <c r="E172" i="2"/>
  <c r="E166" i="2"/>
  <c r="E164" i="2"/>
  <c r="E161" i="2"/>
  <c r="E162" i="2"/>
  <c r="E163" i="2" s="1"/>
  <c r="E111" i="2"/>
  <c r="E156" i="2" s="1"/>
  <c r="E110" i="2"/>
  <c r="E155" i="2"/>
  <c r="E153" i="2"/>
  <c r="E106" i="2"/>
  <c r="E152" i="2"/>
  <c r="F174" i="2"/>
  <c r="F172" i="2"/>
  <c r="F166" i="2"/>
  <c r="F164" i="2"/>
  <c r="F120" i="2"/>
  <c r="F161" i="2"/>
  <c r="F163" i="2" s="1"/>
  <c r="F121" i="2"/>
  <c r="F122" i="2"/>
  <c r="F162" i="2"/>
  <c r="F156" i="2"/>
  <c r="F155" i="2"/>
  <c r="F153" i="2"/>
  <c r="F106" i="2"/>
  <c r="F152" i="2" s="1"/>
  <c r="G140" i="2"/>
  <c r="G174" i="2"/>
  <c r="G173" i="2"/>
  <c r="G172" i="2"/>
  <c r="G168" i="2"/>
  <c r="G164" i="2"/>
  <c r="G119" i="2"/>
  <c r="G161" i="2" s="1"/>
  <c r="G163" i="2" s="1"/>
  <c r="G120" i="2"/>
  <c r="G121" i="2"/>
  <c r="G162" i="2"/>
  <c r="G156" i="2"/>
  <c r="G155" i="2"/>
  <c r="G153" i="2"/>
  <c r="G106" i="2"/>
  <c r="G152" i="2"/>
  <c r="H140" i="2"/>
  <c r="H174" i="2"/>
  <c r="H126" i="2"/>
  <c r="H172" i="2"/>
  <c r="H124" i="2"/>
  <c r="H164" i="2" s="1"/>
  <c r="H119" i="2"/>
  <c r="H120" i="2"/>
  <c r="H161" i="2" s="1"/>
  <c r="H121" i="2"/>
  <c r="H162" i="2" s="1"/>
  <c r="H122" i="2"/>
  <c r="H156" i="2"/>
  <c r="H110" i="2"/>
  <c r="H155" i="2"/>
  <c r="H108" i="2"/>
  <c r="H129" i="2" s="1"/>
  <c r="H106" i="2"/>
  <c r="H152" i="2"/>
  <c r="I140" i="2"/>
  <c r="I174" i="2"/>
  <c r="I164" i="2"/>
  <c r="I161" i="2"/>
  <c r="I163" i="2" s="1"/>
  <c r="I162" i="2"/>
  <c r="I156" i="2"/>
  <c r="I153" i="2"/>
  <c r="I152" i="2"/>
  <c r="H125" i="2"/>
  <c r="H107" i="2"/>
  <c r="G125" i="2"/>
  <c r="G127" i="2"/>
  <c r="G107" i="2"/>
  <c r="G95" i="2"/>
  <c r="G129" i="2"/>
  <c r="F125" i="2"/>
  <c r="F107" i="2"/>
  <c r="F129" i="2" s="1"/>
  <c r="F95" i="2"/>
  <c r="E125" i="2"/>
  <c r="E129" i="2" s="1"/>
  <c r="E181" i="2" s="1"/>
  <c r="E127" i="2"/>
  <c r="E107" i="2"/>
  <c r="I151" i="2"/>
  <c r="H151" i="2"/>
  <c r="G151" i="2"/>
  <c r="F151" i="2"/>
  <c r="E151" i="2"/>
  <c r="I101" i="2"/>
  <c r="I147" i="2"/>
  <c r="H101" i="2"/>
  <c r="H147" i="2" s="1"/>
  <c r="G147" i="2"/>
  <c r="F147" i="2"/>
  <c r="E147" i="2"/>
  <c r="I146" i="2"/>
  <c r="H146" i="2"/>
  <c r="G146" i="2"/>
  <c r="F146" i="2"/>
  <c r="E146" i="2"/>
  <c r="I145" i="2"/>
  <c r="H99" i="2"/>
  <c r="H97" i="2" s="1"/>
  <c r="H145" i="2"/>
  <c r="G145" i="2"/>
  <c r="F145" i="2"/>
  <c r="E145" i="2"/>
  <c r="I144" i="2"/>
  <c r="H144" i="2"/>
  <c r="G144" i="2"/>
  <c r="F144" i="2"/>
  <c r="E144" i="2"/>
  <c r="I97" i="2"/>
  <c r="G97" i="2"/>
  <c r="F97" i="2"/>
  <c r="E97" i="2"/>
  <c r="I36" i="2"/>
  <c r="I70" i="2" s="1"/>
  <c r="I16" i="2"/>
  <c r="I37" i="2" s="1"/>
  <c r="I38" i="2"/>
  <c r="I21" i="2"/>
  <c r="I61" i="2" s="1"/>
  <c r="E5" i="2"/>
  <c r="E45" i="2"/>
  <c r="E47" i="2" s="1"/>
  <c r="E85" i="2" s="1"/>
  <c r="E39" i="2"/>
  <c r="E81" i="2" s="1"/>
  <c r="E80" i="2"/>
  <c r="E70" i="2"/>
  <c r="E67" i="2"/>
  <c r="E69" i="2" s="1"/>
  <c r="E68" i="2"/>
  <c r="E22" i="2"/>
  <c r="E62" i="2"/>
  <c r="E61" i="2"/>
  <c r="E59" i="2"/>
  <c r="E16" i="2"/>
  <c r="E37" i="2" s="1"/>
  <c r="E58" i="2"/>
  <c r="F81" i="2"/>
  <c r="F80" i="2"/>
  <c r="F36" i="2"/>
  <c r="F70" i="2"/>
  <c r="F67" i="2"/>
  <c r="F68" i="2"/>
  <c r="F69" i="2"/>
  <c r="F22" i="2"/>
  <c r="F61" i="2"/>
  <c r="F59" i="2"/>
  <c r="F16" i="2"/>
  <c r="F58" i="2"/>
  <c r="G39" i="2"/>
  <c r="G81" i="2"/>
  <c r="G80" i="2"/>
  <c r="G36" i="2"/>
  <c r="G70" i="2"/>
  <c r="G67" i="2"/>
  <c r="G68" i="2"/>
  <c r="G69" i="2"/>
  <c r="G62" i="2"/>
  <c r="G61" i="2"/>
  <c r="G18" i="2"/>
  <c r="G59" i="2"/>
  <c r="G16" i="2"/>
  <c r="G58" i="2"/>
  <c r="H81" i="2"/>
  <c r="H38" i="2"/>
  <c r="H80" i="2" s="1"/>
  <c r="H36" i="2"/>
  <c r="H70" i="2"/>
  <c r="H67" i="2"/>
  <c r="H68" i="2"/>
  <c r="H69" i="2"/>
  <c r="H62" i="2"/>
  <c r="H21" i="2"/>
  <c r="H61" i="2"/>
  <c r="H18" i="2"/>
  <c r="H41" i="2" s="1"/>
  <c r="H16" i="2"/>
  <c r="H58" i="2" s="1"/>
  <c r="I81" i="2"/>
  <c r="I80" i="2"/>
  <c r="I67" i="2"/>
  <c r="I69" i="2" s="1"/>
  <c r="I68" i="2"/>
  <c r="I62" i="2"/>
  <c r="I59" i="2"/>
  <c r="H17" i="2"/>
  <c r="H37" i="2"/>
  <c r="G17" i="2"/>
  <c r="G37" i="2" s="1"/>
  <c r="G41" i="2" s="1"/>
  <c r="F5" i="2"/>
  <c r="F17" i="2"/>
  <c r="E17" i="2"/>
  <c r="I57" i="2"/>
  <c r="H57" i="2"/>
  <c r="G57" i="2"/>
  <c r="F57" i="2"/>
  <c r="E57" i="2"/>
  <c r="I53" i="2"/>
  <c r="H53" i="2"/>
  <c r="G53" i="2"/>
  <c r="F53" i="2"/>
  <c r="E53" i="2"/>
  <c r="I10" i="2"/>
  <c r="I7" i="2" s="1"/>
  <c r="I52" i="2"/>
  <c r="H52" i="2"/>
  <c r="G52" i="2"/>
  <c r="F52" i="2"/>
  <c r="E52" i="2"/>
  <c r="I51" i="2"/>
  <c r="H51" i="2"/>
  <c r="G51" i="2"/>
  <c r="F51" i="2"/>
  <c r="E51" i="2"/>
  <c r="I50" i="2"/>
  <c r="H50" i="2"/>
  <c r="G50" i="2"/>
  <c r="F50" i="2"/>
  <c r="E50" i="2"/>
  <c r="H7" i="2"/>
  <c r="G7" i="2"/>
  <c r="F7" i="2"/>
  <c r="E7" i="2"/>
  <c r="F181" i="2" l="1"/>
  <c r="H180" i="2"/>
  <c r="I139" i="2" s="1"/>
  <c r="I141" i="2" s="1"/>
  <c r="I177" i="2" s="1"/>
  <c r="I180" i="2" s="1"/>
  <c r="I181" i="2" s="1"/>
  <c r="H163" i="2"/>
  <c r="G181" i="2"/>
  <c r="E41" i="2"/>
  <c r="E89" i="2"/>
  <c r="F45" i="2" s="1"/>
  <c r="F47" i="2" s="1"/>
  <c r="F85" i="2" s="1"/>
  <c r="F89" i="2" s="1"/>
  <c r="G45" i="2" s="1"/>
  <c r="G47" i="2" s="1"/>
  <c r="G85" i="2" s="1"/>
  <c r="G89" i="2" s="1"/>
  <c r="H45" i="2" s="1"/>
  <c r="H47" i="2" s="1"/>
  <c r="H85" i="2" s="1"/>
  <c r="H89" i="2" s="1"/>
  <c r="I45" i="2" s="1"/>
  <c r="I47" i="2" s="1"/>
  <c r="I85" i="2" s="1"/>
  <c r="I89" i="2" s="1"/>
  <c r="F37" i="2"/>
  <c r="F41" i="2" s="1"/>
  <c r="F90" i="2" s="1"/>
  <c r="I58" i="2"/>
  <c r="I41" i="2"/>
  <c r="H59" i="2"/>
  <c r="I155" i="2"/>
  <c r="F62" i="2"/>
  <c r="H153" i="2"/>
  <c r="G90" i="2" l="1"/>
  <c r="H90" i="2"/>
  <c r="H181" i="2"/>
  <c r="E90" i="2"/>
  <c r="I90" i="2"/>
</calcChain>
</file>

<file path=xl/comments1.xml><?xml version="1.0" encoding="utf-8"?>
<comments xmlns="http://schemas.openxmlformats.org/spreadsheetml/2006/main">
  <authors>
    <author>Sheri P. Austin</author>
    <author>Anne Blankenship</author>
  </authors>
  <commentList>
    <comment ref="F45" authorId="0" shapeId="0">
      <text>
        <r>
          <rPr>
            <b/>
            <sz val="8"/>
            <color indexed="81"/>
            <rFont val="Tahoma"/>
          </rPr>
          <t>Sheri P. Austin:</t>
        </r>
        <r>
          <rPr>
            <sz val="8"/>
            <color indexed="81"/>
            <rFont val="Tahoma"/>
          </rPr>
          <t xml:space="preserve">
Reduced by 1999-00 non-recurring appropriation  for Library Resources $216,096</t>
        </r>
      </text>
    </comment>
    <comment ref="G45" authorId="0" shapeId="0">
      <text>
        <r>
          <rPr>
            <b/>
            <sz val="8"/>
            <color indexed="81"/>
            <rFont val="Tahoma"/>
          </rPr>
          <t>Sheri P. Austin:</t>
        </r>
        <r>
          <rPr>
            <sz val="8"/>
            <color indexed="81"/>
            <rFont val="Tahoma"/>
          </rPr>
          <t xml:space="preserve">
Reduced by 2000-01 non-recurring appropriation  forFlorida Center for Library Automation $1,000,000</t>
        </r>
      </text>
    </comment>
    <comment ref="I45" authorId="0" shapeId="0">
      <text>
        <r>
          <rPr>
            <b/>
            <sz val="8"/>
            <color indexed="81"/>
            <rFont val="Tahoma"/>
          </rPr>
          <t>Sheri P. Austin:</t>
        </r>
        <r>
          <rPr>
            <sz val="8"/>
            <color indexed="81"/>
            <rFont val="Tahoma"/>
          </rPr>
          <t xml:space="preserve">
Reduced by 2000-01 non-recurring appropriation  forFlorida Center for Library Automation $1,000,000</t>
        </r>
      </text>
    </comment>
    <comment ref="F129" authorId="1" shapeId="0">
      <text>
        <r>
          <rPr>
            <b/>
            <sz val="8"/>
            <color indexed="81"/>
            <rFont val="Tahoma"/>
          </rPr>
          <t>Anne Blankenship:</t>
        </r>
        <r>
          <rPr>
            <sz val="8"/>
            <color indexed="81"/>
            <rFont val="Tahoma"/>
          </rPr>
          <t xml:space="preserve">
Allocation does not include $9,575,055 for medical school
</t>
        </r>
      </text>
    </comment>
    <comment ref="G129" authorId="1" shapeId="0">
      <text>
        <r>
          <rPr>
            <b/>
            <sz val="8"/>
            <color indexed="81"/>
            <rFont val="Tahoma"/>
          </rPr>
          <t>Anne Blankenship:</t>
        </r>
        <r>
          <rPr>
            <sz val="8"/>
            <color indexed="81"/>
            <rFont val="Tahoma"/>
          </rPr>
          <t xml:space="preserve">
Does not include $11,881,377 transfer to FSU-MS</t>
        </r>
      </text>
    </comment>
  </commentList>
</comments>
</file>

<file path=xl/sharedStrings.xml><?xml version="1.0" encoding="utf-8"?>
<sst xmlns="http://schemas.openxmlformats.org/spreadsheetml/2006/main" count="218" uniqueCount="82">
  <si>
    <t>1999-00</t>
  </si>
  <si>
    <t>2000-01</t>
  </si>
  <si>
    <t>2001-02</t>
  </si>
  <si>
    <t>2002-03</t>
  </si>
  <si>
    <t>2003-04</t>
  </si>
  <si>
    <t>I</t>
  </si>
  <si>
    <t>Actual Appropriations</t>
  </si>
  <si>
    <t>A.</t>
  </si>
  <si>
    <t>Base Appropriations</t>
  </si>
  <si>
    <t>a.</t>
  </si>
  <si>
    <t xml:space="preserve">  Continued workload commitments</t>
  </si>
  <si>
    <t xml:space="preserve"> Enrollment by Level - Total</t>
  </si>
  <si>
    <t>Lower</t>
  </si>
  <si>
    <t>Upper</t>
  </si>
  <si>
    <t>Grad I</t>
  </si>
  <si>
    <t>Grad II</t>
  </si>
  <si>
    <t>B.</t>
  </si>
  <si>
    <t>Funding Increases</t>
  </si>
  <si>
    <t>Continuation Costs</t>
  </si>
  <si>
    <t>Salary Increases</t>
  </si>
  <si>
    <t xml:space="preserve">  % of Increase</t>
  </si>
  <si>
    <t xml:space="preserve">  Cost</t>
  </si>
  <si>
    <t>Annualization of Salary Increases</t>
  </si>
  <si>
    <t xml:space="preserve">  FRS Adjustment</t>
  </si>
  <si>
    <t>Other</t>
  </si>
  <si>
    <t>Health Insurance Adjustments</t>
  </si>
  <si>
    <t>Casualty/Fire Insurance Adjustments</t>
  </si>
  <si>
    <t>Enrollment Growth</t>
  </si>
  <si>
    <t>Funding Rate</t>
  </si>
  <si>
    <t xml:space="preserve">  Lower Level</t>
  </si>
  <si>
    <t xml:space="preserve">  Upper Level</t>
  </si>
  <si>
    <t xml:space="preserve">  Graduate I</t>
  </si>
  <si>
    <t xml:space="preserve">  Graduate II</t>
  </si>
  <si>
    <t>n/a</t>
  </si>
  <si>
    <t xml:space="preserve">  Graduate III</t>
  </si>
  <si>
    <t>Enrollment Growth in FTE</t>
  </si>
  <si>
    <t>Enrollment Growth Funding</t>
  </si>
  <si>
    <t>Maintenance and Operation of New Buildings</t>
  </si>
  <si>
    <t>New, Improved, and Phased-in Programs</t>
  </si>
  <si>
    <t>Tuition and Fees Increases</t>
  </si>
  <si>
    <t>Budget Reductions</t>
  </si>
  <si>
    <t>Major Gifts</t>
  </si>
  <si>
    <t>Total Budget</t>
  </si>
  <si>
    <t xml:space="preserve">II </t>
  </si>
  <si>
    <t>Contract Funding (If in place for past 5 years)</t>
  </si>
  <si>
    <t>Less Student Fees</t>
  </si>
  <si>
    <t>Adjusted Base</t>
  </si>
  <si>
    <t xml:space="preserve"> Enrollment in FTE</t>
  </si>
  <si>
    <t>Undergraduate Rate</t>
  </si>
  <si>
    <t>Graduate Rate</t>
  </si>
  <si>
    <t>Enrollment Growth in SCH - UG</t>
  </si>
  <si>
    <t>Enrollment Growth in SCH - Grad</t>
  </si>
  <si>
    <t>Basic Sciences Program Expansion</t>
  </si>
  <si>
    <t>Branches, Centers &amp; Partnerships</t>
  </si>
  <si>
    <t>Chiropractic Medicine</t>
  </si>
  <si>
    <t>Ringling Museum/Dance</t>
  </si>
  <si>
    <t>Asolo Conservatory</t>
  </si>
  <si>
    <t>Florida Center for Reading Research</t>
  </si>
  <si>
    <t>Higher Education Price Index (HEPI)</t>
  </si>
  <si>
    <t>Percent</t>
  </si>
  <si>
    <t>Amount</t>
  </si>
  <si>
    <t>C.</t>
  </si>
  <si>
    <t>Penalties</t>
  </si>
  <si>
    <t>within 2%</t>
  </si>
  <si>
    <t>(275.16) UG (405.34) GR</t>
  </si>
  <si>
    <t>Enrollment Declines</t>
  </si>
  <si>
    <t>Total Contract Estimate</t>
  </si>
  <si>
    <t>III</t>
  </si>
  <si>
    <t>Actual Over/(Under) Contract Estimate</t>
  </si>
  <si>
    <t>98-99 FRS = 16.45% 99-00 FRS = 10.15%</t>
  </si>
  <si>
    <t xml:space="preserve">99-00 FRS = 10.15% 00-01 FRS = 9.15% </t>
  </si>
  <si>
    <t xml:space="preserve">00-01 FRS = 9.15%  01-02 FRS = 7.30% </t>
  </si>
  <si>
    <t xml:space="preserve">01-02 FRS = 7.30% 02-03 FRS = 5.76%  </t>
  </si>
  <si>
    <t xml:space="preserve">02-03 FRS = 5.76%  03-04 FRS = 7.39% </t>
  </si>
  <si>
    <t>Florida Center for Library Automation</t>
  </si>
  <si>
    <t>SUS National Aerospace Science/Tech/Educ Center</t>
  </si>
  <si>
    <t>Appendix D</t>
  </si>
  <si>
    <t>Maintenance &amp; Oper. of New Bldgs</t>
  </si>
  <si>
    <t>Notes:    Matriculation and Fees assumed the same as provided by Legislature.Non-recurring funds are backed out of actual and contract.Special appropriations are identified under contract.</t>
  </si>
  <si>
    <t>University of Florida - State Funding Increase Comparison - Contract vs. Actual</t>
  </si>
  <si>
    <t>Florida State University  - Funding Increase Comparison - Contract vs. Actual</t>
  </si>
  <si>
    <t>Florida State University - Funding Increase Comparison - Contract vs.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</si>
</sst>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_);_(&quot;$&quot;* \(#,##0\);_(@_)"/>
    <numFmt numFmtId="168" formatCode="_(* #,##0_);_(* \(#,##0\);_(@_)"/>
  </numFmts>
  <fonts count="11" x14ac:knownFonts="1">
    <font>
      <sz val="10"/>
      <name val="Arial"/>
    </font>
    <font>
      <sz val="10"/>
      <name val="Arial"/>
    </font>
    <font>
      <b/>
      <sz val="8"/>
      <color indexed="81"/>
      <name val="Tahoma"/>
    </font>
    <font>
      <sz val="8"/>
      <color indexed="81"/>
      <name val="Tahoma"/>
    </font>
    <font>
      <b/>
      <sz val="12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b/>
      <u/>
      <sz val="12"/>
      <name val="Garamond"/>
      <family val="1"/>
    </font>
    <font>
      <b/>
      <sz val="10"/>
      <name val="Garamond"/>
      <family val="1"/>
    </font>
    <font>
      <u/>
      <sz val="12"/>
      <name val="Garamond"/>
      <family val="1"/>
    </font>
    <font>
      <sz val="9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43" fontId="6" fillId="0" borderId="0" xfId="1" applyFont="1"/>
    <xf numFmtId="164" fontId="6" fillId="0" borderId="0" xfId="2" applyNumberFormat="1" applyFont="1"/>
    <xf numFmtId="1" fontId="6" fillId="0" borderId="0" xfId="1" applyNumberFormat="1" applyFont="1"/>
    <xf numFmtId="164" fontId="6" fillId="0" borderId="0" xfId="2" applyNumberFormat="1" applyFont="1" applyAlignment="1"/>
    <xf numFmtId="164" fontId="6" fillId="0" borderId="0" xfId="2" applyNumberFormat="1" applyFont="1" applyFill="1"/>
    <xf numFmtId="164" fontId="5" fillId="0" borderId="0" xfId="2" applyNumberFormat="1" applyFont="1"/>
    <xf numFmtId="1" fontId="5" fillId="0" borderId="0" xfId="1" applyNumberFormat="1" applyFont="1"/>
    <xf numFmtId="164" fontId="5" fillId="0" borderId="0" xfId="2" applyNumberFormat="1" applyFont="1" applyAlignment="1"/>
    <xf numFmtId="164" fontId="4" fillId="0" borderId="1" xfId="2" applyNumberFormat="1" applyFont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43" fontId="5" fillId="0" borderId="0" xfId="1" applyFont="1"/>
    <xf numFmtId="1" fontId="7" fillId="0" borderId="0" xfId="1" applyNumberFormat="1" applyFont="1"/>
    <xf numFmtId="164" fontId="5" fillId="0" borderId="0" xfId="2" applyNumberFormat="1" applyFont="1" applyFill="1"/>
    <xf numFmtId="1" fontId="8" fillId="0" borderId="0" xfId="1" applyNumberFormat="1" applyFont="1"/>
    <xf numFmtId="164" fontId="8" fillId="0" borderId="0" xfId="2" applyNumberFormat="1" applyFont="1" applyAlignment="1"/>
    <xf numFmtId="164" fontId="8" fillId="0" borderId="0" xfId="2" quotePrefix="1" applyNumberFormat="1" applyFont="1" applyAlignment="1">
      <alignment horizontal="left"/>
    </xf>
    <xf numFmtId="165" fontId="6" fillId="0" borderId="0" xfId="1" applyNumberFormat="1" applyFont="1"/>
    <xf numFmtId="165" fontId="6" fillId="0" borderId="0" xfId="1" applyNumberFormat="1" applyFont="1" applyAlignment="1">
      <alignment horizontal="left"/>
    </xf>
    <xf numFmtId="165" fontId="6" fillId="0" borderId="0" xfId="1" applyNumberFormat="1" applyFont="1" applyBorder="1"/>
    <xf numFmtId="165" fontId="6" fillId="0" borderId="0" xfId="1" applyNumberFormat="1" applyFont="1" applyFill="1" applyBorder="1"/>
    <xf numFmtId="165" fontId="6" fillId="0" borderId="0" xfId="1" applyNumberFormat="1" applyFont="1" applyFill="1"/>
    <xf numFmtId="1" fontId="8" fillId="0" borderId="0" xfId="1" applyNumberFormat="1" applyFont="1" applyAlignment="1">
      <alignment horizontal="center"/>
    </xf>
    <xf numFmtId="166" fontId="6" fillId="0" borderId="0" xfId="3" applyNumberFormat="1" applyFont="1"/>
    <xf numFmtId="166" fontId="6" fillId="0" borderId="0" xfId="3" quotePrefix="1" applyNumberFormat="1" applyFont="1" applyAlignment="1">
      <alignment horizontal="left"/>
    </xf>
    <xf numFmtId="166" fontId="6" fillId="0" borderId="0" xfId="3" applyNumberFormat="1" applyFont="1" applyFill="1"/>
    <xf numFmtId="167" fontId="6" fillId="0" borderId="0" xfId="2" applyNumberFormat="1" applyFont="1"/>
    <xf numFmtId="167" fontId="6" fillId="0" borderId="0" xfId="2" applyNumberFormat="1" applyFont="1" applyAlignment="1"/>
    <xf numFmtId="167" fontId="6" fillId="0" borderId="0" xfId="2" applyNumberFormat="1" applyFont="1" applyFill="1"/>
    <xf numFmtId="167" fontId="8" fillId="0" borderId="0" xfId="2" applyNumberFormat="1" applyFont="1" applyAlignment="1"/>
    <xf numFmtId="167" fontId="6" fillId="0" borderId="0" xfId="2" applyNumberFormat="1" applyFont="1" applyAlignment="1">
      <alignment horizontal="center" wrapText="1"/>
    </xf>
    <xf numFmtId="167" fontId="6" fillId="0" borderId="0" xfId="2" applyNumberFormat="1" applyFont="1" applyAlignment="1">
      <alignment horizontal="left"/>
    </xf>
    <xf numFmtId="167" fontId="6" fillId="0" borderId="0" xfId="2" quotePrefix="1" applyNumberFormat="1" applyFont="1" applyAlignment="1">
      <alignment horizontal="left"/>
    </xf>
    <xf numFmtId="164" fontId="6" fillId="0" borderId="0" xfId="2" applyNumberFormat="1" applyFont="1" applyAlignment="1">
      <alignment horizontal="left"/>
    </xf>
    <xf numFmtId="165" fontId="6" fillId="0" borderId="0" xfId="1" quotePrefix="1" applyNumberFormat="1" applyFont="1" applyAlignment="1">
      <alignment horizontal="left"/>
    </xf>
    <xf numFmtId="168" fontId="6" fillId="0" borderId="0" xfId="1" applyNumberFormat="1" applyFont="1" applyFill="1"/>
    <xf numFmtId="164" fontId="6" fillId="0" borderId="0" xfId="2" quotePrefix="1" applyNumberFormat="1" applyFont="1" applyAlignment="1">
      <alignment horizontal="left"/>
    </xf>
    <xf numFmtId="167" fontId="8" fillId="0" borderId="0" xfId="2" quotePrefix="1" applyNumberFormat="1" applyFont="1" applyAlignment="1">
      <alignment horizontal="left"/>
    </xf>
    <xf numFmtId="167" fontId="8" fillId="0" borderId="0" xfId="2" applyNumberFormat="1" applyFont="1" applyAlignment="1">
      <alignment horizontal="left"/>
    </xf>
    <xf numFmtId="167" fontId="6" fillId="0" borderId="2" xfId="2" applyNumberFormat="1" applyFont="1" applyBorder="1"/>
    <xf numFmtId="167" fontId="6" fillId="0" borderId="2" xfId="2" applyNumberFormat="1" applyFont="1" applyFill="1" applyBorder="1"/>
    <xf numFmtId="167" fontId="7" fillId="2" borderId="0" xfId="2" applyNumberFormat="1" applyFont="1" applyFill="1"/>
    <xf numFmtId="1" fontId="7" fillId="2" borderId="0" xfId="1" applyNumberFormat="1" applyFont="1" applyFill="1"/>
    <xf numFmtId="167" fontId="4" fillId="2" borderId="0" xfId="2" applyNumberFormat="1" applyFont="1" applyFill="1" applyAlignment="1"/>
    <xf numFmtId="167" fontId="8" fillId="2" borderId="0" xfId="2" applyNumberFormat="1" applyFont="1" applyFill="1"/>
    <xf numFmtId="1" fontId="8" fillId="2" borderId="0" xfId="1" applyNumberFormat="1" applyFont="1" applyFill="1"/>
    <xf numFmtId="167" fontId="8" fillId="2" borderId="0" xfId="2" applyNumberFormat="1" applyFont="1" applyFill="1" applyAlignment="1"/>
    <xf numFmtId="164" fontId="8" fillId="2" borderId="0" xfId="2" applyNumberFormat="1" applyFont="1" applyFill="1"/>
    <xf numFmtId="164" fontId="8" fillId="2" borderId="0" xfId="2" quotePrefix="1" applyNumberFormat="1" applyFont="1" applyFill="1" applyAlignment="1">
      <alignment horizontal="left"/>
    </xf>
    <xf numFmtId="165" fontId="8" fillId="2" borderId="0" xfId="1" applyNumberFormat="1" applyFont="1" applyFill="1"/>
    <xf numFmtId="165" fontId="8" fillId="2" borderId="0" xfId="1" applyNumberFormat="1" applyFont="1" applyFill="1" applyAlignment="1">
      <alignment horizontal="left"/>
    </xf>
    <xf numFmtId="165" fontId="8" fillId="2" borderId="0" xfId="1" applyNumberFormat="1" applyFont="1" applyFill="1" applyAlignment="1"/>
    <xf numFmtId="164" fontId="8" fillId="2" borderId="0" xfId="2" applyNumberFormat="1" applyFont="1" applyFill="1" applyAlignment="1"/>
    <xf numFmtId="1" fontId="8" fillId="2" borderId="0" xfId="1" applyNumberFormat="1" applyFont="1" applyFill="1" applyAlignment="1">
      <alignment horizontal="center"/>
    </xf>
    <xf numFmtId="10" fontId="8" fillId="2" borderId="0" xfId="3" applyNumberFormat="1" applyFont="1" applyFill="1"/>
    <xf numFmtId="167" fontId="8" fillId="2" borderId="0" xfId="1" applyNumberFormat="1" applyFont="1" applyFill="1"/>
    <xf numFmtId="164" fontId="8" fillId="2" borderId="0" xfId="2" applyNumberFormat="1" applyFont="1" applyFill="1" applyAlignment="1">
      <alignment horizontal="left"/>
    </xf>
    <xf numFmtId="168" fontId="8" fillId="2" borderId="0" xfId="1" applyNumberFormat="1" applyFont="1" applyFill="1"/>
    <xf numFmtId="168" fontId="8" fillId="2" borderId="0" xfId="1" applyNumberFormat="1" applyFont="1" applyFill="1" applyAlignment="1">
      <alignment horizontal="center"/>
    </xf>
    <xf numFmtId="168" fontId="8" fillId="2" borderId="0" xfId="1" quotePrefix="1" applyNumberFormat="1" applyFont="1" applyFill="1" applyAlignment="1">
      <alignment horizontal="left"/>
    </xf>
    <xf numFmtId="168" fontId="6" fillId="0" borderId="0" xfId="1" applyNumberFormat="1" applyFont="1"/>
    <xf numFmtId="167" fontId="8" fillId="2" borderId="0" xfId="1" applyNumberFormat="1" applyFont="1" applyFill="1" applyAlignment="1">
      <alignment horizontal="center"/>
    </xf>
    <xf numFmtId="167" fontId="8" fillId="2" borderId="0" xfId="2" quotePrefix="1" applyNumberFormat="1" applyFont="1" applyFill="1" applyAlignment="1">
      <alignment horizontal="left"/>
    </xf>
    <xf numFmtId="167" fontId="8" fillId="2" borderId="0" xfId="2" applyNumberFormat="1" applyFont="1" applyFill="1" applyAlignment="1">
      <alignment horizontal="left"/>
    </xf>
    <xf numFmtId="10" fontId="8" fillId="2" borderId="0" xfId="3" applyNumberFormat="1" applyFont="1" applyFill="1" applyAlignment="1">
      <alignment horizontal="center"/>
    </xf>
    <xf numFmtId="10" fontId="8" fillId="2" borderId="0" xfId="3" applyNumberFormat="1" applyFont="1" applyFill="1" applyAlignment="1"/>
    <xf numFmtId="10" fontId="6" fillId="0" borderId="0" xfId="3" applyNumberFormat="1" applyFont="1"/>
    <xf numFmtId="1" fontId="8" fillId="2" borderId="0" xfId="1" applyNumberFormat="1" applyFont="1" applyFill="1" applyAlignment="1"/>
    <xf numFmtId="164" fontId="4" fillId="2" borderId="0" xfId="2" applyNumberFormat="1" applyFont="1" applyFill="1" applyAlignment="1">
      <alignment horizontal="center"/>
    </xf>
    <xf numFmtId="164" fontId="4" fillId="2" borderId="0" xfId="2" applyNumberFormat="1" applyFont="1" applyFill="1"/>
    <xf numFmtId="167" fontId="8" fillId="2" borderId="2" xfId="2" applyNumberFormat="1" applyFont="1" applyFill="1" applyBorder="1"/>
    <xf numFmtId="1" fontId="8" fillId="0" borderId="0" xfId="1" applyNumberFormat="1" applyFont="1" applyAlignment="1"/>
    <xf numFmtId="167" fontId="7" fillId="0" borderId="0" xfId="2" applyNumberFormat="1" applyFont="1"/>
    <xf numFmtId="167" fontId="4" fillId="0" borderId="0" xfId="2" applyNumberFormat="1" applyFont="1" applyAlignment="1"/>
    <xf numFmtId="167" fontId="6" fillId="0" borderId="3" xfId="2" applyNumberFormat="1" applyFont="1" applyBorder="1"/>
    <xf numFmtId="167" fontId="6" fillId="0" borderId="3" xfId="2" applyNumberFormat="1" applyFont="1" applyFill="1" applyBorder="1"/>
    <xf numFmtId="167" fontId="7" fillId="3" borderId="0" xfId="2" applyNumberFormat="1" applyFont="1" applyFill="1"/>
    <xf numFmtId="1" fontId="7" fillId="3" borderId="0" xfId="1" applyNumberFormat="1" applyFont="1" applyFill="1"/>
    <xf numFmtId="1" fontId="9" fillId="3" borderId="0" xfId="1" applyNumberFormat="1" applyFont="1" applyFill="1"/>
    <xf numFmtId="167" fontId="5" fillId="3" borderId="0" xfId="2" applyNumberFormat="1" applyFont="1" applyFill="1" applyAlignment="1"/>
    <xf numFmtId="167" fontId="6" fillId="3" borderId="0" xfId="2" applyNumberFormat="1" applyFont="1" applyFill="1"/>
    <xf numFmtId="1" fontId="6" fillId="3" borderId="0" xfId="1" applyNumberFormat="1" applyFont="1" applyFill="1"/>
    <xf numFmtId="167" fontId="6" fillId="3" borderId="0" xfId="2" applyNumberFormat="1" applyFont="1" applyFill="1" applyAlignment="1"/>
    <xf numFmtId="1" fontId="8" fillId="3" borderId="0" xfId="1" applyNumberFormat="1" applyFont="1" applyFill="1"/>
    <xf numFmtId="167" fontId="8" fillId="3" borderId="0" xfId="2" applyNumberFormat="1" applyFont="1" applyFill="1" applyAlignment="1"/>
    <xf numFmtId="164" fontId="6" fillId="3" borderId="0" xfId="2" applyNumberFormat="1" applyFont="1" applyFill="1"/>
    <xf numFmtId="164" fontId="8" fillId="3" borderId="0" xfId="2" quotePrefix="1" applyNumberFormat="1" applyFont="1" applyFill="1" applyAlignment="1">
      <alignment horizontal="left"/>
    </xf>
    <xf numFmtId="164" fontId="6" fillId="3" borderId="0" xfId="2" quotePrefix="1" applyNumberFormat="1" applyFont="1" applyFill="1" applyAlignment="1">
      <alignment horizontal="left"/>
    </xf>
    <xf numFmtId="165" fontId="6" fillId="3" borderId="0" xfId="1" applyNumberFormat="1" applyFont="1" applyFill="1"/>
    <xf numFmtId="165" fontId="8" fillId="3" borderId="0" xfId="1" applyNumberFormat="1" applyFont="1" applyFill="1"/>
    <xf numFmtId="165" fontId="6" fillId="3" borderId="0" xfId="1" applyNumberFormat="1" applyFont="1" applyFill="1" applyAlignment="1">
      <alignment horizontal="left"/>
    </xf>
    <xf numFmtId="165" fontId="6" fillId="3" borderId="0" xfId="1" applyNumberFormat="1" applyFont="1" applyFill="1" applyAlignment="1"/>
    <xf numFmtId="164" fontId="6" fillId="3" borderId="0" xfId="2" applyNumberFormat="1" applyFont="1" applyFill="1" applyAlignment="1"/>
    <xf numFmtId="164" fontId="8" fillId="3" borderId="0" xfId="2" applyNumberFormat="1" applyFont="1" applyFill="1" applyAlignment="1"/>
    <xf numFmtId="1" fontId="8" fillId="3" borderId="0" xfId="1" applyNumberFormat="1" applyFont="1" applyFill="1" applyAlignment="1">
      <alignment horizontal="center"/>
    </xf>
    <xf numFmtId="10" fontId="6" fillId="3" borderId="0" xfId="3" applyNumberFormat="1" applyFont="1" applyFill="1"/>
    <xf numFmtId="167" fontId="6" fillId="3" borderId="0" xfId="1" applyNumberFormat="1" applyFont="1" applyFill="1"/>
    <xf numFmtId="164" fontId="6" fillId="2" borderId="0" xfId="2" applyNumberFormat="1" applyFont="1" applyFill="1"/>
    <xf numFmtId="164" fontId="6" fillId="2" borderId="0" xfId="2" applyNumberFormat="1" applyFont="1" applyFill="1" applyAlignment="1">
      <alignment horizontal="left"/>
    </xf>
    <xf numFmtId="168" fontId="6" fillId="2" borderId="0" xfId="1" applyNumberFormat="1" applyFont="1" applyFill="1"/>
    <xf numFmtId="168" fontId="6" fillId="2" borderId="0" xfId="1" quotePrefix="1" applyNumberFormat="1" applyFont="1" applyFill="1" applyAlignment="1">
      <alignment horizontal="left"/>
    </xf>
    <xf numFmtId="167" fontId="6" fillId="2" borderId="0" xfId="2" applyNumberFormat="1" applyFont="1" applyFill="1"/>
    <xf numFmtId="167" fontId="6" fillId="2" borderId="0" xfId="2" quotePrefix="1" applyNumberFormat="1" applyFont="1" applyFill="1" applyAlignment="1">
      <alignment horizontal="left"/>
    </xf>
    <xf numFmtId="167" fontId="6" fillId="2" borderId="0" xfId="2" applyNumberFormat="1" applyFont="1" applyFill="1" applyAlignment="1">
      <alignment horizontal="left"/>
    </xf>
    <xf numFmtId="10" fontId="6" fillId="2" borderId="0" xfId="3" applyNumberFormat="1" applyFont="1" applyFill="1"/>
    <xf numFmtId="10" fontId="6" fillId="2" borderId="0" xfId="3" applyNumberFormat="1" applyFont="1" applyFill="1" applyAlignment="1"/>
    <xf numFmtId="164" fontId="5" fillId="2" borderId="0" xfId="2" applyNumberFormat="1" applyFont="1" applyFill="1" applyAlignment="1">
      <alignment horizontal="center"/>
    </xf>
    <xf numFmtId="167" fontId="6" fillId="2" borderId="0" xfId="2" applyNumberFormat="1" applyFont="1" applyFill="1" applyAlignment="1">
      <alignment horizontal="center" wrapText="1"/>
    </xf>
    <xf numFmtId="164" fontId="5" fillId="2" borderId="0" xfId="2" applyNumberFormat="1" applyFont="1" applyFill="1"/>
    <xf numFmtId="164" fontId="6" fillId="0" borderId="0" xfId="2" applyNumberFormat="1" applyFont="1" applyBorder="1"/>
    <xf numFmtId="164" fontId="6" fillId="0" borderId="0" xfId="2" applyNumberFormat="1" applyFont="1" applyFill="1" applyBorder="1"/>
    <xf numFmtId="167" fontId="8" fillId="0" borderId="0" xfId="2" applyNumberFormat="1" applyFont="1" applyAlignment="1">
      <alignment wrapText="1"/>
    </xf>
    <xf numFmtId="167" fontId="8" fillId="0" borderId="0" xfId="2" quotePrefix="1" applyNumberFormat="1" applyFont="1" applyAlignment="1">
      <alignment horizontal="left" wrapText="1"/>
    </xf>
    <xf numFmtId="164" fontId="8" fillId="0" borderId="1" xfId="2" applyNumberFormat="1" applyFont="1" applyBorder="1" applyAlignment="1">
      <alignment horizontal="center"/>
    </xf>
    <xf numFmtId="167" fontId="10" fillId="0" borderId="0" xfId="2" applyNumberFormat="1" applyFont="1" applyAlignment="1">
      <alignment horizontal="left" wrapText="1"/>
    </xf>
    <xf numFmtId="1" fontId="8" fillId="2" borderId="0" xfId="1" applyNumberFormat="1" applyFont="1" applyFill="1" applyAlignment="1">
      <alignment horizontal="center"/>
    </xf>
    <xf numFmtId="164" fontId="4" fillId="0" borderId="0" xfId="2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1" fontId="8" fillId="3" borderId="0" xfId="1" applyNumberFormat="1" applyFont="1" applyFill="1" applyAlignment="1">
      <alignment horizontal="center"/>
    </xf>
    <xf numFmtId="164" fontId="5" fillId="0" borderId="0" xfId="2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1"/>
  <sheetViews>
    <sheetView tabSelected="1" zoomScale="70" zoomScaleNormal="70" workbookViewId="0">
      <selection sqref="A1:I1"/>
    </sheetView>
  </sheetViews>
  <sheetFormatPr defaultRowHeight="12.75" x14ac:dyDescent="0.2"/>
  <cols>
    <col min="1" max="1" width="3.7109375" style="2" customWidth="1"/>
    <col min="2" max="2" width="3.7109375" style="3" customWidth="1"/>
    <col min="3" max="3" width="2.28515625" style="3" customWidth="1"/>
    <col min="4" max="4" width="36" style="4" customWidth="1"/>
    <col min="5" max="5" width="17" style="2" customWidth="1"/>
    <col min="6" max="6" width="16.5703125" style="2" customWidth="1"/>
    <col min="7" max="8" width="16.5703125" style="5" customWidth="1"/>
    <col min="9" max="9" width="17" style="5" customWidth="1"/>
    <col min="10" max="10" width="12.85546875" style="1" bestFit="1" customWidth="1"/>
    <col min="11" max="16384" width="9.140625" style="2"/>
  </cols>
  <sheetData>
    <row r="1" spans="1:10" ht="15.75" x14ac:dyDescent="0.25">
      <c r="A1" s="116" t="s">
        <v>76</v>
      </c>
      <c r="B1" s="119"/>
      <c r="C1" s="119"/>
      <c r="D1" s="119"/>
      <c r="E1" s="119"/>
      <c r="F1" s="119"/>
      <c r="G1" s="119"/>
      <c r="H1" s="119"/>
      <c r="I1" s="119"/>
    </row>
    <row r="2" spans="1:10" ht="13.5" customHeight="1" x14ac:dyDescent="0.25">
      <c r="A2" s="116" t="s">
        <v>79</v>
      </c>
      <c r="B2" s="116"/>
      <c r="C2" s="116"/>
      <c r="D2" s="116"/>
      <c r="E2" s="116"/>
      <c r="F2" s="116"/>
      <c r="G2" s="116"/>
      <c r="H2" s="116"/>
      <c r="I2" s="116"/>
    </row>
    <row r="3" spans="1:10" s="6" customFormat="1" ht="15.75" x14ac:dyDescent="0.25">
      <c r="B3" s="7"/>
      <c r="C3" s="7"/>
      <c r="D3" s="8"/>
      <c r="E3" s="9" t="s">
        <v>0</v>
      </c>
      <c r="F3" s="9" t="s">
        <v>1</v>
      </c>
      <c r="G3" s="10" t="s">
        <v>2</v>
      </c>
      <c r="H3" s="10" t="s">
        <v>3</v>
      </c>
      <c r="I3" s="10" t="s">
        <v>4</v>
      </c>
      <c r="J3" s="11"/>
    </row>
    <row r="4" spans="1:10" s="6" customFormat="1" ht="15.75" x14ac:dyDescent="0.25">
      <c r="A4" s="6" t="s">
        <v>5</v>
      </c>
      <c r="B4" s="12" t="s">
        <v>6</v>
      </c>
      <c r="C4" s="7"/>
      <c r="D4" s="8"/>
      <c r="G4" s="13"/>
      <c r="H4" s="13"/>
      <c r="I4" s="13"/>
      <c r="J4" s="11"/>
    </row>
    <row r="5" spans="1:10" x14ac:dyDescent="0.2">
      <c r="B5" s="14" t="s">
        <v>7</v>
      </c>
      <c r="D5" s="15" t="s">
        <v>8</v>
      </c>
      <c r="E5" s="109">
        <f>376292458</f>
        <v>376292458</v>
      </c>
      <c r="F5" s="109">
        <f>411849441</f>
        <v>411849441</v>
      </c>
      <c r="G5" s="110">
        <v>436258172</v>
      </c>
      <c r="H5" s="110">
        <v>438533156</v>
      </c>
      <c r="I5" s="110">
        <v>446460825</v>
      </c>
    </row>
    <row r="6" spans="1:10" x14ac:dyDescent="0.2">
      <c r="B6" s="14"/>
      <c r="C6" s="14" t="s">
        <v>9</v>
      </c>
      <c r="D6" s="16" t="s">
        <v>10</v>
      </c>
      <c r="E6" s="109"/>
      <c r="F6" s="109"/>
      <c r="G6" s="110"/>
      <c r="H6" s="110"/>
      <c r="I6" s="110"/>
    </row>
    <row r="7" spans="1:10" s="17" customFormat="1" x14ac:dyDescent="0.2">
      <c r="B7" s="14"/>
      <c r="C7" s="3"/>
      <c r="D7" s="18" t="s">
        <v>11</v>
      </c>
      <c r="E7" s="19">
        <f>SUM(E8:E11)</f>
        <v>29223</v>
      </c>
      <c r="F7" s="19">
        <f>SUM(F8:F11)</f>
        <v>30493</v>
      </c>
      <c r="G7" s="20">
        <f>SUM(G8:G11)</f>
        <v>30493</v>
      </c>
      <c r="H7" s="20">
        <f>SUM(H8:H11)</f>
        <v>32414</v>
      </c>
      <c r="I7" s="20">
        <f>SUM(I8:I11)</f>
        <v>32325</v>
      </c>
      <c r="J7" s="1"/>
    </row>
    <row r="8" spans="1:10" s="17" customFormat="1" x14ac:dyDescent="0.2">
      <c r="B8" s="14"/>
      <c r="C8" s="3"/>
      <c r="D8" s="18" t="s">
        <v>12</v>
      </c>
      <c r="E8" s="19">
        <v>10110</v>
      </c>
      <c r="F8" s="20">
        <v>10780</v>
      </c>
      <c r="G8" s="20">
        <v>10780</v>
      </c>
      <c r="H8" s="20">
        <v>11550</v>
      </c>
      <c r="I8" s="20">
        <v>11394</v>
      </c>
      <c r="J8" s="1"/>
    </row>
    <row r="9" spans="1:10" s="17" customFormat="1" x14ac:dyDescent="0.2">
      <c r="B9" s="14"/>
      <c r="C9" s="3"/>
      <c r="D9" s="18" t="s">
        <v>13</v>
      </c>
      <c r="E9" s="19">
        <v>12426</v>
      </c>
      <c r="F9" s="20">
        <v>12454</v>
      </c>
      <c r="G9" s="20">
        <v>12454</v>
      </c>
      <c r="H9" s="20">
        <v>12936</v>
      </c>
      <c r="I9" s="20">
        <v>13033</v>
      </c>
      <c r="J9" s="1"/>
    </row>
    <row r="10" spans="1:10" s="17" customFormat="1" x14ac:dyDescent="0.2">
      <c r="B10" s="14"/>
      <c r="C10" s="3"/>
      <c r="D10" s="18" t="s">
        <v>14</v>
      </c>
      <c r="E10" s="19">
        <v>5792</v>
      </c>
      <c r="F10" s="20">
        <v>5933</v>
      </c>
      <c r="G10" s="20">
        <v>5933</v>
      </c>
      <c r="H10" s="20">
        <v>5931</v>
      </c>
      <c r="I10" s="20">
        <f>4578+1223</f>
        <v>5801</v>
      </c>
      <c r="J10" s="1"/>
    </row>
    <row r="11" spans="1:10" s="17" customFormat="1" x14ac:dyDescent="0.2">
      <c r="B11" s="14"/>
      <c r="C11" s="3"/>
      <c r="D11" s="18" t="s">
        <v>15</v>
      </c>
      <c r="E11" s="19">
        <v>895</v>
      </c>
      <c r="F11" s="20">
        <v>1326</v>
      </c>
      <c r="G11" s="20">
        <v>1326</v>
      </c>
      <c r="H11" s="20">
        <v>1997</v>
      </c>
      <c r="I11" s="20">
        <v>2097</v>
      </c>
      <c r="J11" s="1"/>
    </row>
    <row r="12" spans="1:10" x14ac:dyDescent="0.2">
      <c r="B12" s="14" t="s">
        <v>16</v>
      </c>
      <c r="D12" s="15" t="s">
        <v>17</v>
      </c>
    </row>
    <row r="13" spans="1:10" x14ac:dyDescent="0.2">
      <c r="B13" s="117">
        <v>1</v>
      </c>
      <c r="C13" s="117"/>
      <c r="D13" s="15" t="s">
        <v>18</v>
      </c>
    </row>
    <row r="14" spans="1:10" x14ac:dyDescent="0.2">
      <c r="B14" s="22"/>
      <c r="C14" s="22"/>
      <c r="D14" s="4" t="s">
        <v>19</v>
      </c>
    </row>
    <row r="15" spans="1:10" s="23" customFormat="1" x14ac:dyDescent="0.2">
      <c r="B15" s="22"/>
      <c r="C15" s="22"/>
      <c r="D15" s="24" t="s">
        <v>20</v>
      </c>
      <c r="E15" s="23">
        <v>2.8000000000000001E-2</v>
      </c>
      <c r="F15" s="23">
        <v>2.5000000000000001E-2</v>
      </c>
      <c r="G15" s="25">
        <v>2.5000000000000001E-2</v>
      </c>
      <c r="H15" s="25">
        <v>2.5000000000000001E-2</v>
      </c>
      <c r="I15" s="25">
        <v>0.02</v>
      </c>
      <c r="J15" s="1"/>
    </row>
    <row r="16" spans="1:10" s="26" customFormat="1" x14ac:dyDescent="0.2">
      <c r="B16" s="22"/>
      <c r="C16" s="22"/>
      <c r="D16" s="27" t="s">
        <v>21</v>
      </c>
      <c r="E16" s="26">
        <f>6217910+136209</f>
        <v>6354119</v>
      </c>
      <c r="F16" s="26">
        <f>5350177+124974+91803</f>
        <v>5566954</v>
      </c>
      <c r="G16" s="28">
        <f>4113612+133645+116625+134812+5636</f>
        <v>4504330</v>
      </c>
      <c r="H16" s="28">
        <f>5878299+131013</f>
        <v>6009312</v>
      </c>
      <c r="I16" s="28">
        <f>3186879+82544</f>
        <v>3269423</v>
      </c>
      <c r="J16" s="1"/>
    </row>
    <row r="17" spans="2:10" s="26" customFormat="1" x14ac:dyDescent="0.2">
      <c r="B17" s="22"/>
      <c r="C17" s="22"/>
      <c r="D17" s="27" t="s">
        <v>22</v>
      </c>
      <c r="E17" s="26">
        <f>579606+42934</f>
        <v>622540</v>
      </c>
      <c r="F17" s="26">
        <f>537392+45403</f>
        <v>582795</v>
      </c>
      <c r="G17" s="28">
        <f>1763727+41658</f>
        <v>1805385</v>
      </c>
      <c r="H17" s="28">
        <f>2247135+372131+56966</f>
        <v>2676232</v>
      </c>
      <c r="I17" s="28">
        <v>2013482</v>
      </c>
      <c r="J17" s="1"/>
    </row>
    <row r="18" spans="2:10" s="26" customFormat="1" x14ac:dyDescent="0.2">
      <c r="B18" s="22"/>
      <c r="C18" s="22"/>
      <c r="D18" s="27" t="s">
        <v>23</v>
      </c>
      <c r="E18" s="26">
        <v>-2229805</v>
      </c>
      <c r="F18" s="26">
        <v>-14737946</v>
      </c>
      <c r="G18" s="28">
        <f>-1512720</f>
        <v>-1512720</v>
      </c>
      <c r="H18" s="28">
        <f>-3039570-3116368</f>
        <v>-6155938</v>
      </c>
      <c r="I18" s="28">
        <v>2722786</v>
      </c>
      <c r="J18" s="1"/>
    </row>
    <row r="19" spans="2:10" s="26" customFormat="1" ht="29.25" customHeight="1" x14ac:dyDescent="0.2">
      <c r="B19" s="22"/>
      <c r="C19" s="22"/>
      <c r="D19" s="29"/>
      <c r="E19" s="30" t="s">
        <v>69</v>
      </c>
      <c r="F19" s="30" t="s">
        <v>70</v>
      </c>
      <c r="G19" s="30" t="s">
        <v>71</v>
      </c>
      <c r="H19" s="30" t="s">
        <v>72</v>
      </c>
      <c r="I19" s="30" t="s">
        <v>73</v>
      </c>
      <c r="J19" s="1"/>
    </row>
    <row r="20" spans="2:10" s="26" customFormat="1" x14ac:dyDescent="0.2">
      <c r="B20" s="3"/>
      <c r="C20" s="3"/>
      <c r="D20" s="27" t="s">
        <v>24</v>
      </c>
      <c r="G20" s="28"/>
      <c r="H20" s="28"/>
      <c r="I20" s="28"/>
      <c r="J20" s="1"/>
    </row>
    <row r="21" spans="2:10" s="26" customFormat="1" x14ac:dyDescent="0.2">
      <c r="B21" s="3"/>
      <c r="C21" s="3"/>
      <c r="D21" s="27" t="s">
        <v>25</v>
      </c>
      <c r="E21" s="26">
        <v>3982459</v>
      </c>
      <c r="F21" s="26">
        <v>978410</v>
      </c>
      <c r="G21" s="28"/>
      <c r="H21" s="28">
        <f>1409992+1837410</f>
        <v>3247402</v>
      </c>
      <c r="I21" s="28">
        <f>1409992+2490612</f>
        <v>3900604</v>
      </c>
      <c r="J21" s="1"/>
    </row>
    <row r="22" spans="2:10" s="26" customFormat="1" x14ac:dyDescent="0.2">
      <c r="B22" s="3"/>
      <c r="C22" s="3"/>
      <c r="D22" s="27" t="s">
        <v>26</v>
      </c>
      <c r="E22" s="26">
        <f>-96678+103910</f>
        <v>7232</v>
      </c>
      <c r="F22" s="26">
        <f>-218201</f>
        <v>-218201</v>
      </c>
      <c r="G22" s="28">
        <v>102270</v>
      </c>
      <c r="H22" s="28">
        <v>575245</v>
      </c>
      <c r="I22" s="28">
        <v>-150518</v>
      </c>
      <c r="J22" s="1"/>
    </row>
    <row r="23" spans="2:10" x14ac:dyDescent="0.2">
      <c r="B23" s="117">
        <v>2</v>
      </c>
      <c r="C23" s="117"/>
      <c r="D23" s="16" t="s">
        <v>27</v>
      </c>
    </row>
    <row r="24" spans="2:10" s="26" customFormat="1" x14ac:dyDescent="0.2">
      <c r="B24" s="22"/>
      <c r="C24" s="22"/>
      <c r="D24" s="31" t="s">
        <v>28</v>
      </c>
      <c r="G24" s="28"/>
      <c r="H24" s="28"/>
      <c r="I24" s="28"/>
      <c r="J24" s="1"/>
    </row>
    <row r="25" spans="2:10" s="26" customFormat="1" x14ac:dyDescent="0.2">
      <c r="B25" s="22"/>
      <c r="C25" s="22"/>
      <c r="D25" s="31" t="s">
        <v>29</v>
      </c>
      <c r="E25" s="26">
        <v>6392</v>
      </c>
      <c r="F25" s="26">
        <v>6551</v>
      </c>
      <c r="G25" s="28">
        <v>5379</v>
      </c>
      <c r="H25" s="28">
        <v>6066</v>
      </c>
      <c r="I25" s="28"/>
      <c r="J25" s="1"/>
    </row>
    <row r="26" spans="2:10" s="26" customFormat="1" x14ac:dyDescent="0.2">
      <c r="B26" s="22"/>
      <c r="C26" s="22"/>
      <c r="D26" s="32" t="s">
        <v>30</v>
      </c>
      <c r="E26" s="26">
        <v>9415</v>
      </c>
      <c r="F26" s="26">
        <v>9727</v>
      </c>
      <c r="G26" s="28">
        <v>8709</v>
      </c>
      <c r="H26" s="28">
        <v>7846</v>
      </c>
      <c r="I26" s="28"/>
      <c r="J26" s="1"/>
    </row>
    <row r="27" spans="2:10" s="26" customFormat="1" x14ac:dyDescent="0.2">
      <c r="B27" s="22"/>
      <c r="C27" s="22"/>
      <c r="D27" s="32" t="s">
        <v>31</v>
      </c>
      <c r="E27" s="26">
        <v>15219</v>
      </c>
      <c r="F27" s="26">
        <v>16255</v>
      </c>
      <c r="G27" s="28">
        <v>14387</v>
      </c>
      <c r="H27" s="28">
        <v>13264</v>
      </c>
      <c r="I27" s="28"/>
      <c r="J27" s="1"/>
    </row>
    <row r="28" spans="2:10" s="26" customFormat="1" x14ac:dyDescent="0.2">
      <c r="B28" s="22"/>
      <c r="C28" s="22"/>
      <c r="D28" s="32" t="s">
        <v>32</v>
      </c>
      <c r="E28" s="26" t="s">
        <v>33</v>
      </c>
      <c r="F28" s="26">
        <v>25056</v>
      </c>
      <c r="G28" s="28">
        <v>22010</v>
      </c>
      <c r="H28" s="28">
        <v>20240</v>
      </c>
      <c r="I28" s="28"/>
      <c r="J28" s="1"/>
    </row>
    <row r="29" spans="2:10" s="17" customFormat="1" x14ac:dyDescent="0.2">
      <c r="B29" s="22"/>
      <c r="C29" s="22"/>
      <c r="D29" s="34" t="s">
        <v>35</v>
      </c>
      <c r="G29" s="21"/>
      <c r="H29" s="21"/>
      <c r="I29" s="35"/>
      <c r="J29" s="1"/>
    </row>
    <row r="30" spans="2:10" s="17" customFormat="1" x14ac:dyDescent="0.2">
      <c r="B30" s="22"/>
      <c r="C30" s="22"/>
      <c r="D30" s="33" t="s">
        <v>29</v>
      </c>
      <c r="E30" s="17">
        <v>0</v>
      </c>
      <c r="F30" s="17">
        <v>670</v>
      </c>
      <c r="G30" s="21">
        <v>216</v>
      </c>
      <c r="H30" s="21">
        <v>554</v>
      </c>
      <c r="I30" s="35">
        <v>0</v>
      </c>
      <c r="J30" s="1"/>
    </row>
    <row r="31" spans="2:10" s="17" customFormat="1" x14ac:dyDescent="0.2">
      <c r="B31" s="22"/>
      <c r="C31" s="22"/>
      <c r="D31" s="36" t="s">
        <v>30</v>
      </c>
      <c r="E31" s="17">
        <v>675</v>
      </c>
      <c r="F31" s="17">
        <v>0</v>
      </c>
      <c r="G31" s="21">
        <v>217</v>
      </c>
      <c r="H31" s="21">
        <v>265</v>
      </c>
      <c r="I31" s="35">
        <v>0</v>
      </c>
      <c r="J31" s="1"/>
    </row>
    <row r="32" spans="2:10" s="17" customFormat="1" x14ac:dyDescent="0.2">
      <c r="B32" s="22"/>
      <c r="C32" s="22"/>
      <c r="D32" s="36" t="s">
        <v>31</v>
      </c>
      <c r="E32" s="17">
        <v>275</v>
      </c>
      <c r="F32" s="17">
        <v>90</v>
      </c>
      <c r="G32" s="21">
        <v>315</v>
      </c>
      <c r="H32" s="21">
        <v>197</v>
      </c>
      <c r="I32" s="35">
        <v>0</v>
      </c>
      <c r="J32" s="1"/>
    </row>
    <row r="33" spans="1:10" s="17" customFormat="1" x14ac:dyDescent="0.2">
      <c r="B33" s="22"/>
      <c r="C33" s="22"/>
      <c r="D33" s="36" t="s">
        <v>32</v>
      </c>
      <c r="F33" s="17">
        <v>431</v>
      </c>
      <c r="G33" s="21">
        <v>0</v>
      </c>
      <c r="H33" s="21">
        <v>66</v>
      </c>
      <c r="I33" s="35">
        <v>0</v>
      </c>
      <c r="J33" s="1"/>
    </row>
    <row r="34" spans="1:10" s="17" customFormat="1" x14ac:dyDescent="0.2">
      <c r="B34" s="22"/>
      <c r="C34" s="22"/>
      <c r="D34" s="36" t="s">
        <v>34</v>
      </c>
      <c r="G34" s="21"/>
      <c r="H34" s="21"/>
      <c r="I34" s="35"/>
      <c r="J34" s="1"/>
    </row>
    <row r="35" spans="1:10" s="26" customFormat="1" x14ac:dyDescent="0.2">
      <c r="B35" s="22"/>
      <c r="C35" s="22"/>
      <c r="D35" s="32" t="s">
        <v>36</v>
      </c>
      <c r="E35" s="26">
        <v>7804629</v>
      </c>
      <c r="F35" s="26">
        <v>16651256</v>
      </c>
      <c r="G35" s="28">
        <v>7583655</v>
      </c>
      <c r="H35" s="28">
        <v>8115355</v>
      </c>
      <c r="I35" s="28">
        <v>0</v>
      </c>
      <c r="J35" s="1"/>
    </row>
    <row r="36" spans="1:10" s="26" customFormat="1" x14ac:dyDescent="0.2">
      <c r="B36" s="117">
        <v>3</v>
      </c>
      <c r="C36" s="117"/>
      <c r="D36" s="111" t="s">
        <v>77</v>
      </c>
      <c r="E36" s="26">
        <v>217644</v>
      </c>
      <c r="F36" s="26">
        <f>755194+41466</f>
        <v>796660</v>
      </c>
      <c r="G36" s="28">
        <f>13043+1250820</f>
        <v>1263863</v>
      </c>
      <c r="H36" s="28">
        <f>129002+146186</f>
        <v>275188</v>
      </c>
      <c r="I36" s="28">
        <f>109120+552790</f>
        <v>661910</v>
      </c>
      <c r="J36" s="1"/>
    </row>
    <row r="37" spans="1:10" s="26" customFormat="1" x14ac:dyDescent="0.2">
      <c r="B37" s="117">
        <v>4</v>
      </c>
      <c r="C37" s="117"/>
      <c r="D37" s="112" t="s">
        <v>38</v>
      </c>
      <c r="E37" s="26">
        <f>411849441-E5-E16-E17-E18-E22-E35-E36-E38-E39-E21-E40</f>
        <v>16736458</v>
      </c>
      <c r="F37" s="26">
        <f>436258172-F5-F16-F17-F18-F22-F35-F36-F38-F39-F21-F40</f>
        <v>11027191</v>
      </c>
      <c r="G37" s="28">
        <f>438533156-G5-G16-G17-G18-G22-G35-G36-G38-G39-G21-G40</f>
        <v>-4739197</v>
      </c>
      <c r="H37" s="28">
        <f>441505846-H5-H16-H17-H18-H22-H35-H36-H38-H39-H21-H40+1409992+131013+5878299+575245-3039570</f>
        <v>7341267</v>
      </c>
      <c r="I37" s="28">
        <f>456293257+12498959-I5-I16-I17-I18-I22-I35-I36-I38-I39-I21-I40</f>
        <v>-11498551</v>
      </c>
      <c r="J37" s="1"/>
    </row>
    <row r="38" spans="1:10" s="26" customFormat="1" x14ac:dyDescent="0.2">
      <c r="B38" s="117">
        <v>5</v>
      </c>
      <c r="C38" s="117"/>
      <c r="D38" s="38" t="s">
        <v>39</v>
      </c>
      <c r="E38" s="26">
        <v>3406725</v>
      </c>
      <c r="F38" s="26">
        <v>3786612</v>
      </c>
      <c r="G38" s="28">
        <v>6090627</v>
      </c>
      <c r="H38" s="28">
        <f>5537050+3126559</f>
        <v>8663609</v>
      </c>
      <c r="I38" s="28">
        <f>3570965+12245748+400000</f>
        <v>16216713</v>
      </c>
      <c r="J38" s="1"/>
    </row>
    <row r="39" spans="1:10" s="26" customFormat="1" x14ac:dyDescent="0.2">
      <c r="B39" s="117">
        <v>6</v>
      </c>
      <c r="C39" s="117"/>
      <c r="D39" s="38" t="s">
        <v>40</v>
      </c>
      <c r="E39" s="26">
        <f>-914905-430113</f>
        <v>-1345018</v>
      </c>
      <c r="F39" s="26">
        <v>-25000</v>
      </c>
      <c r="G39" s="28">
        <f>-748566-1440128-2217266-6090627-2134596-16015-176031</f>
        <v>-12823229</v>
      </c>
      <c r="H39" s="28">
        <v>-22820003</v>
      </c>
      <c r="I39" s="28">
        <v>-7303417</v>
      </c>
      <c r="J39" s="1"/>
    </row>
    <row r="40" spans="1:10" s="26" customFormat="1" x14ac:dyDescent="0.2">
      <c r="B40" s="117">
        <v>7</v>
      </c>
      <c r="C40" s="117"/>
      <c r="D40" s="38" t="s">
        <v>41</v>
      </c>
      <c r="G40" s="28"/>
      <c r="H40" s="28"/>
      <c r="I40" s="28">
        <v>12498959</v>
      </c>
      <c r="J40" s="1"/>
    </row>
    <row r="41" spans="1:10" s="26" customFormat="1" x14ac:dyDescent="0.2">
      <c r="B41" s="22"/>
      <c r="C41" s="22"/>
      <c r="D41" s="38" t="s">
        <v>42</v>
      </c>
      <c r="E41" s="39">
        <f>SUM(E35:E40)+E22+E21+E20+E18+E17+E16+E5</f>
        <v>411849441</v>
      </c>
      <c r="F41" s="39">
        <f>SUM(F35:F40)+F22+F21+F20+F18+F17+F16+F5</f>
        <v>436258172</v>
      </c>
      <c r="G41" s="40">
        <f>SUM(G35:G40)+G22+G21+G20+G18+G17+G16+G5</f>
        <v>438533156</v>
      </c>
      <c r="H41" s="40">
        <f>SUM(H35:H40)+H22+H21+H20+H18+H17+H16+H5</f>
        <v>446460825</v>
      </c>
      <c r="I41" s="40">
        <f>SUM(I35:I40)+I22+I21+I20+I18+I17+I16+I5</f>
        <v>468792216</v>
      </c>
      <c r="J41" s="1"/>
    </row>
    <row r="42" spans="1:10" ht="13.5" customHeight="1" x14ac:dyDescent="0.25">
      <c r="A42" s="116" t="s">
        <v>79</v>
      </c>
      <c r="B42" s="116"/>
      <c r="C42" s="116"/>
      <c r="D42" s="116"/>
      <c r="E42" s="116"/>
      <c r="F42" s="116"/>
      <c r="G42" s="116"/>
      <c r="H42" s="116"/>
      <c r="I42" s="116"/>
    </row>
    <row r="43" spans="1:10" s="6" customFormat="1" ht="15.75" x14ac:dyDescent="0.25">
      <c r="B43" s="7"/>
      <c r="C43" s="7"/>
      <c r="D43" s="8"/>
      <c r="E43" s="9" t="s">
        <v>0</v>
      </c>
      <c r="F43" s="9" t="s">
        <v>1</v>
      </c>
      <c r="G43" s="10" t="s">
        <v>2</v>
      </c>
      <c r="H43" s="10" t="s">
        <v>3</v>
      </c>
      <c r="I43" s="10" t="s">
        <v>4</v>
      </c>
      <c r="J43" s="11"/>
    </row>
    <row r="44" spans="1:10" s="26" customFormat="1" ht="15.75" x14ac:dyDescent="0.25">
      <c r="A44" s="41" t="s">
        <v>43</v>
      </c>
      <c r="B44" s="42" t="s">
        <v>44</v>
      </c>
      <c r="C44" s="42"/>
      <c r="D44" s="43"/>
      <c r="E44" s="44"/>
      <c r="F44" s="44"/>
      <c r="G44" s="44"/>
      <c r="H44" s="44"/>
      <c r="I44" s="44"/>
      <c r="J44" s="1"/>
    </row>
    <row r="45" spans="1:10" s="26" customFormat="1" x14ac:dyDescent="0.2">
      <c r="A45" s="44"/>
      <c r="B45" s="45" t="s">
        <v>7</v>
      </c>
      <c r="C45" s="45"/>
      <c r="D45" s="46" t="s">
        <v>8</v>
      </c>
      <c r="E45" s="44">
        <f>+E5</f>
        <v>376292458</v>
      </c>
      <c r="F45" s="44">
        <f>+E89-216096</f>
        <v>407400820</v>
      </c>
      <c r="G45" s="44">
        <f>+F89-1000000</f>
        <v>429111799</v>
      </c>
      <c r="H45" s="44">
        <f>+G89</f>
        <v>449413993</v>
      </c>
      <c r="I45" s="44">
        <f>+H89-1000000</f>
        <v>466314293</v>
      </c>
      <c r="J45" s="1"/>
    </row>
    <row r="46" spans="1:10" s="26" customFormat="1" x14ac:dyDescent="0.2">
      <c r="A46" s="44"/>
      <c r="B46" s="45"/>
      <c r="C46" s="45"/>
      <c r="D46" s="46" t="s">
        <v>45</v>
      </c>
      <c r="E46" s="44">
        <v>85377545</v>
      </c>
      <c r="F46" s="44">
        <v>97504615</v>
      </c>
      <c r="G46" s="44">
        <v>105326999</v>
      </c>
      <c r="H46" s="44">
        <v>116442344</v>
      </c>
      <c r="I46" s="44">
        <v>132659057</v>
      </c>
      <c r="J46" s="1"/>
    </row>
    <row r="47" spans="1:10" s="26" customFormat="1" x14ac:dyDescent="0.2">
      <c r="A47" s="44"/>
      <c r="B47" s="45"/>
      <c r="C47" s="45"/>
      <c r="D47" s="46" t="s">
        <v>46</v>
      </c>
      <c r="E47" s="44">
        <f>+E45-E46</f>
        <v>290914913</v>
      </c>
      <c r="F47" s="44">
        <f>+F45-F46</f>
        <v>309896205</v>
      </c>
      <c r="G47" s="44">
        <f>+G45-G46</f>
        <v>323784800</v>
      </c>
      <c r="H47" s="44">
        <f>+H45-H46</f>
        <v>332971649</v>
      </c>
      <c r="I47" s="44">
        <f>+I45-I46</f>
        <v>333655236</v>
      </c>
      <c r="J47" s="1"/>
    </row>
    <row r="48" spans="1:10" x14ac:dyDescent="0.2">
      <c r="A48" s="47"/>
      <c r="B48" s="45"/>
      <c r="C48" s="45" t="s">
        <v>9</v>
      </c>
      <c r="D48" s="48" t="s">
        <v>10</v>
      </c>
      <c r="E48" s="47"/>
      <c r="F48" s="47"/>
      <c r="G48" s="47"/>
      <c r="H48" s="47"/>
      <c r="I48" s="47"/>
    </row>
    <row r="49" spans="1:10" x14ac:dyDescent="0.2">
      <c r="A49" s="47"/>
      <c r="B49" s="45"/>
      <c r="C49" s="45"/>
      <c r="D49" s="48" t="s">
        <v>47</v>
      </c>
      <c r="E49" s="47"/>
      <c r="F49" s="47"/>
      <c r="G49" s="47"/>
      <c r="H49" s="47"/>
      <c r="I49" s="47"/>
    </row>
    <row r="50" spans="1:10" s="17" customFormat="1" x14ac:dyDescent="0.2">
      <c r="A50" s="49"/>
      <c r="B50" s="49"/>
      <c r="C50" s="49"/>
      <c r="D50" s="50" t="s">
        <v>12</v>
      </c>
      <c r="E50" s="49">
        <f t="shared" ref="E50:I53" si="0">+E8</f>
        <v>10110</v>
      </c>
      <c r="F50" s="49">
        <f t="shared" si="0"/>
        <v>10780</v>
      </c>
      <c r="G50" s="49">
        <f t="shared" si="0"/>
        <v>10780</v>
      </c>
      <c r="H50" s="49">
        <f t="shared" si="0"/>
        <v>11550</v>
      </c>
      <c r="I50" s="49">
        <f t="shared" si="0"/>
        <v>11394</v>
      </c>
      <c r="J50" s="1"/>
    </row>
    <row r="51" spans="1:10" s="17" customFormat="1" x14ac:dyDescent="0.2">
      <c r="A51" s="49"/>
      <c r="B51" s="49"/>
      <c r="C51" s="49"/>
      <c r="D51" s="50" t="s">
        <v>13</v>
      </c>
      <c r="E51" s="49">
        <f t="shared" si="0"/>
        <v>12426</v>
      </c>
      <c r="F51" s="49">
        <f t="shared" si="0"/>
        <v>12454</v>
      </c>
      <c r="G51" s="49">
        <f t="shared" si="0"/>
        <v>12454</v>
      </c>
      <c r="H51" s="49">
        <f t="shared" si="0"/>
        <v>12936</v>
      </c>
      <c r="I51" s="49">
        <f t="shared" si="0"/>
        <v>13033</v>
      </c>
      <c r="J51" s="1"/>
    </row>
    <row r="52" spans="1:10" s="17" customFormat="1" x14ac:dyDescent="0.2">
      <c r="A52" s="49"/>
      <c r="B52" s="49"/>
      <c r="C52" s="49"/>
      <c r="D52" s="50" t="s">
        <v>14</v>
      </c>
      <c r="E52" s="49">
        <f t="shared" si="0"/>
        <v>5792</v>
      </c>
      <c r="F52" s="49">
        <f t="shared" si="0"/>
        <v>5933</v>
      </c>
      <c r="G52" s="49">
        <f t="shared" si="0"/>
        <v>5933</v>
      </c>
      <c r="H52" s="49">
        <f t="shared" si="0"/>
        <v>5931</v>
      </c>
      <c r="I52" s="49">
        <f t="shared" si="0"/>
        <v>5801</v>
      </c>
      <c r="J52" s="1"/>
    </row>
    <row r="53" spans="1:10" s="17" customFormat="1" x14ac:dyDescent="0.2">
      <c r="A53" s="49"/>
      <c r="B53" s="49"/>
      <c r="C53" s="49"/>
      <c r="D53" s="51" t="s">
        <v>15</v>
      </c>
      <c r="E53" s="49">
        <f t="shared" si="0"/>
        <v>895</v>
      </c>
      <c r="F53" s="49">
        <f t="shared" si="0"/>
        <v>1326</v>
      </c>
      <c r="G53" s="49">
        <f t="shared" si="0"/>
        <v>1326</v>
      </c>
      <c r="H53" s="49">
        <f t="shared" si="0"/>
        <v>1997</v>
      </c>
      <c r="I53" s="49">
        <f t="shared" si="0"/>
        <v>2097</v>
      </c>
      <c r="J53" s="1"/>
    </row>
    <row r="54" spans="1:10" x14ac:dyDescent="0.2">
      <c r="A54" s="47"/>
      <c r="B54" s="45" t="s">
        <v>16</v>
      </c>
      <c r="C54" s="45"/>
      <c r="D54" s="52" t="s">
        <v>17</v>
      </c>
      <c r="E54" s="47"/>
      <c r="F54" s="47"/>
      <c r="G54" s="47"/>
      <c r="H54" s="47"/>
      <c r="I54" s="47"/>
    </row>
    <row r="55" spans="1:10" x14ac:dyDescent="0.2">
      <c r="A55" s="47"/>
      <c r="B55" s="115">
        <v>1</v>
      </c>
      <c r="C55" s="115"/>
      <c r="D55" s="52" t="s">
        <v>18</v>
      </c>
      <c r="E55" s="47"/>
      <c r="F55" s="47"/>
      <c r="G55" s="47"/>
      <c r="H55" s="47"/>
      <c r="I55" s="47"/>
    </row>
    <row r="56" spans="1:10" x14ac:dyDescent="0.2">
      <c r="A56" s="47"/>
      <c r="B56" s="53"/>
      <c r="C56" s="53"/>
      <c r="D56" s="52" t="s">
        <v>19</v>
      </c>
      <c r="E56" s="52"/>
      <c r="F56" s="47"/>
      <c r="G56" s="47"/>
      <c r="H56" s="47"/>
      <c r="I56" s="47"/>
    </row>
    <row r="57" spans="1:10" x14ac:dyDescent="0.2">
      <c r="A57" s="47"/>
      <c r="B57" s="45"/>
      <c r="C57" s="45"/>
      <c r="D57" s="48" t="s">
        <v>20</v>
      </c>
      <c r="E57" s="54">
        <f t="shared" ref="E57:I58" si="1">+E15</f>
        <v>2.8000000000000001E-2</v>
      </c>
      <c r="F57" s="54">
        <f t="shared" si="1"/>
        <v>2.5000000000000001E-2</v>
      </c>
      <c r="G57" s="54">
        <f t="shared" si="1"/>
        <v>2.5000000000000001E-2</v>
      </c>
      <c r="H57" s="54">
        <f t="shared" si="1"/>
        <v>2.5000000000000001E-2</v>
      </c>
      <c r="I57" s="54">
        <f t="shared" si="1"/>
        <v>0.02</v>
      </c>
    </row>
    <row r="58" spans="1:10" s="26" customFormat="1" x14ac:dyDescent="0.2">
      <c r="A58" s="44"/>
      <c r="B58" s="55"/>
      <c r="C58" s="55"/>
      <c r="D58" s="46" t="s">
        <v>21</v>
      </c>
      <c r="E58" s="44">
        <f t="shared" si="1"/>
        <v>6354119</v>
      </c>
      <c r="F58" s="44">
        <f t="shared" si="1"/>
        <v>5566954</v>
      </c>
      <c r="G58" s="44">
        <f t="shared" si="1"/>
        <v>4504330</v>
      </c>
      <c r="H58" s="44">
        <f t="shared" si="1"/>
        <v>6009312</v>
      </c>
      <c r="I58" s="44">
        <f t="shared" si="1"/>
        <v>3269423</v>
      </c>
      <c r="J58" s="1"/>
    </row>
    <row r="59" spans="1:10" s="26" customFormat="1" x14ac:dyDescent="0.2">
      <c r="A59" s="44"/>
      <c r="B59" s="55"/>
      <c r="C59" s="55"/>
      <c r="D59" s="46" t="s">
        <v>23</v>
      </c>
      <c r="E59" s="46">
        <f>+E18</f>
        <v>-2229805</v>
      </c>
      <c r="F59" s="46">
        <f>+F18</f>
        <v>-14737946</v>
      </c>
      <c r="G59" s="46">
        <f>+G18</f>
        <v>-1512720</v>
      </c>
      <c r="H59" s="46">
        <f>+H18</f>
        <v>-6155938</v>
      </c>
      <c r="I59" s="46">
        <f>+I18</f>
        <v>2722786</v>
      </c>
      <c r="J59" s="1"/>
    </row>
    <row r="60" spans="1:10" x14ac:dyDescent="0.2">
      <c r="A60" s="47"/>
      <c r="B60" s="45"/>
      <c r="C60" s="45"/>
      <c r="D60" s="52" t="s">
        <v>24</v>
      </c>
      <c r="E60" s="52"/>
      <c r="F60" s="52"/>
      <c r="G60" s="52"/>
      <c r="H60" s="52"/>
      <c r="I60" s="52"/>
    </row>
    <row r="61" spans="1:10" s="26" customFormat="1" x14ac:dyDescent="0.2">
      <c r="A61" s="44"/>
      <c r="B61" s="55"/>
      <c r="C61" s="55"/>
      <c r="D61" s="46" t="s">
        <v>25</v>
      </c>
      <c r="E61" s="46">
        <f t="shared" ref="E61:I62" si="2">+E21</f>
        <v>3982459</v>
      </c>
      <c r="F61" s="46">
        <f t="shared" si="2"/>
        <v>978410</v>
      </c>
      <c r="G61" s="46">
        <f t="shared" si="2"/>
        <v>0</v>
      </c>
      <c r="H61" s="46">
        <f t="shared" si="2"/>
        <v>3247402</v>
      </c>
      <c r="I61" s="46">
        <f t="shared" si="2"/>
        <v>3900604</v>
      </c>
      <c r="J61" s="1"/>
    </row>
    <row r="62" spans="1:10" s="26" customFormat="1" x14ac:dyDescent="0.2">
      <c r="A62" s="44"/>
      <c r="B62" s="55"/>
      <c r="C62" s="55"/>
      <c r="D62" s="46" t="s">
        <v>26</v>
      </c>
      <c r="E62" s="46">
        <f t="shared" si="2"/>
        <v>7232</v>
      </c>
      <c r="F62" s="46">
        <f t="shared" si="2"/>
        <v>-218201</v>
      </c>
      <c r="G62" s="46">
        <f t="shared" si="2"/>
        <v>102270</v>
      </c>
      <c r="H62" s="46">
        <f t="shared" si="2"/>
        <v>575245</v>
      </c>
      <c r="I62" s="46">
        <f t="shared" si="2"/>
        <v>-150518</v>
      </c>
      <c r="J62" s="1"/>
    </row>
    <row r="63" spans="1:10" x14ac:dyDescent="0.2">
      <c r="A63" s="47"/>
      <c r="B63" s="115">
        <v>2</v>
      </c>
      <c r="C63" s="115"/>
      <c r="D63" s="52" t="s">
        <v>27</v>
      </c>
      <c r="E63" s="47"/>
      <c r="F63" s="47"/>
      <c r="G63" s="47"/>
      <c r="H63" s="47"/>
      <c r="I63" s="47"/>
    </row>
    <row r="64" spans="1:10" x14ac:dyDescent="0.2">
      <c r="A64" s="47"/>
      <c r="B64" s="53"/>
      <c r="C64" s="53"/>
      <c r="D64" s="56" t="s">
        <v>28</v>
      </c>
      <c r="E64" s="47"/>
      <c r="F64" s="47"/>
      <c r="G64" s="47"/>
      <c r="H64" s="47"/>
      <c r="I64" s="47"/>
    </row>
    <row r="65" spans="1:10" x14ac:dyDescent="0.2">
      <c r="A65" s="47"/>
      <c r="B65" s="53"/>
      <c r="C65" s="53"/>
      <c r="D65" s="56" t="s">
        <v>48</v>
      </c>
      <c r="E65" s="47">
        <v>8067</v>
      </c>
      <c r="F65" s="47">
        <v>8067</v>
      </c>
      <c r="G65" s="47">
        <v>8067</v>
      </c>
      <c r="H65" s="47">
        <v>8067</v>
      </c>
      <c r="I65" s="47">
        <v>8067</v>
      </c>
    </row>
    <row r="66" spans="1:10" x14ac:dyDescent="0.2">
      <c r="A66" s="47"/>
      <c r="B66" s="53"/>
      <c r="C66" s="53"/>
      <c r="D66" s="56" t="s">
        <v>49</v>
      </c>
      <c r="E66" s="47">
        <v>17171</v>
      </c>
      <c r="F66" s="47">
        <v>17171</v>
      </c>
      <c r="G66" s="47">
        <v>17171</v>
      </c>
      <c r="H66" s="47">
        <v>17171</v>
      </c>
      <c r="I66" s="47">
        <v>17171</v>
      </c>
    </row>
    <row r="67" spans="1:10" s="60" customFormat="1" x14ac:dyDescent="0.2">
      <c r="A67" s="57"/>
      <c r="B67" s="58"/>
      <c r="C67" s="58"/>
      <c r="D67" s="59" t="s">
        <v>50</v>
      </c>
      <c r="E67" s="57">
        <f>(+E30+E31)</f>
        <v>675</v>
      </c>
      <c r="F67" s="57">
        <f>(+F30+F31)</f>
        <v>670</v>
      </c>
      <c r="G67" s="57">
        <f>(+G30+G31)</f>
        <v>433</v>
      </c>
      <c r="H67" s="57">
        <f>(+H30+H31)</f>
        <v>819</v>
      </c>
      <c r="I67" s="57">
        <f>(+I30+I31)</f>
        <v>0</v>
      </c>
      <c r="J67" s="1"/>
    </row>
    <row r="68" spans="1:10" s="60" customFormat="1" x14ac:dyDescent="0.2">
      <c r="A68" s="57"/>
      <c r="B68" s="58"/>
      <c r="C68" s="58"/>
      <c r="D68" s="59" t="s">
        <v>51</v>
      </c>
      <c r="E68" s="57">
        <f>(+E32+E33)</f>
        <v>275</v>
      </c>
      <c r="F68" s="57">
        <f>(+F32+F33)</f>
        <v>521</v>
      </c>
      <c r="G68" s="57">
        <f>(+G32+G33)</f>
        <v>315</v>
      </c>
      <c r="H68" s="57">
        <f>(+H32+H33)</f>
        <v>263</v>
      </c>
      <c r="I68" s="57">
        <f>(+I32+I33)</f>
        <v>0</v>
      </c>
      <c r="J68" s="1"/>
    </row>
    <row r="69" spans="1:10" s="26" customFormat="1" x14ac:dyDescent="0.2">
      <c r="A69" s="44"/>
      <c r="B69" s="61"/>
      <c r="C69" s="61"/>
      <c r="D69" s="62" t="s">
        <v>36</v>
      </c>
      <c r="E69" s="44">
        <f>ROUND((E67*E65)+(E68*E66),2)</f>
        <v>10167250</v>
      </c>
      <c r="F69" s="44">
        <f>ROUND((F67*F65)+(F68*F66),2)</f>
        <v>14350981</v>
      </c>
      <c r="G69" s="44">
        <f>ROUND((G67*G65)+(G68*G66),2)</f>
        <v>8901876</v>
      </c>
      <c r="H69" s="44">
        <f>ROUND((H67*H65)+(H68*H66),2)</f>
        <v>11122846</v>
      </c>
      <c r="I69" s="44">
        <f>ROUND((I67*I65)+(I68*I66),2)</f>
        <v>0</v>
      </c>
      <c r="J69" s="1"/>
    </row>
    <row r="70" spans="1:10" s="26" customFormat="1" x14ac:dyDescent="0.2">
      <c r="A70" s="44"/>
      <c r="B70" s="115">
        <v>3</v>
      </c>
      <c r="C70" s="115"/>
      <c r="D70" s="46" t="s">
        <v>37</v>
      </c>
      <c r="E70" s="44">
        <f>+E36</f>
        <v>217644</v>
      </c>
      <c r="F70" s="44">
        <f>+F36</f>
        <v>796660</v>
      </c>
      <c r="G70" s="44">
        <f>+G36</f>
        <v>1263863</v>
      </c>
      <c r="H70" s="44">
        <f>+H36</f>
        <v>275188</v>
      </c>
      <c r="I70" s="44">
        <f>+I36</f>
        <v>661910</v>
      </c>
      <c r="J70" s="1"/>
    </row>
    <row r="71" spans="1:10" s="26" customFormat="1" x14ac:dyDescent="0.2">
      <c r="A71" s="44"/>
      <c r="B71" s="115">
        <v>4</v>
      </c>
      <c r="C71" s="115"/>
      <c r="D71" s="62" t="s">
        <v>38</v>
      </c>
      <c r="E71" s="44"/>
      <c r="F71" s="44"/>
      <c r="G71" s="44"/>
      <c r="H71" s="44"/>
      <c r="I71" s="44"/>
      <c r="J71" s="1"/>
    </row>
    <row r="72" spans="1:10" s="26" customFormat="1" x14ac:dyDescent="0.2">
      <c r="A72" s="44"/>
      <c r="B72" s="53"/>
      <c r="C72" s="53"/>
      <c r="D72" s="63" t="s">
        <v>74</v>
      </c>
      <c r="E72" s="44"/>
      <c r="F72" s="44">
        <v>4775000</v>
      </c>
      <c r="G72" s="44"/>
      <c r="H72" s="44">
        <v>1000000</v>
      </c>
      <c r="I72" s="44"/>
      <c r="J72" s="1"/>
    </row>
    <row r="73" spans="1:10" s="26" customFormat="1" x14ac:dyDescent="0.2">
      <c r="A73" s="44"/>
      <c r="B73" s="53"/>
      <c r="C73" s="53"/>
      <c r="D73" s="63" t="s">
        <v>75</v>
      </c>
      <c r="E73" s="44"/>
      <c r="F73" s="44"/>
      <c r="G73" s="44">
        <v>500000</v>
      </c>
      <c r="H73" s="44"/>
      <c r="I73" s="44"/>
      <c r="J73" s="1"/>
    </row>
    <row r="74" spans="1:10" s="26" customFormat="1" x14ac:dyDescent="0.2">
      <c r="A74" s="44"/>
      <c r="B74" s="53"/>
      <c r="C74" s="53"/>
      <c r="D74" s="63"/>
      <c r="E74" s="44"/>
      <c r="F74" s="44"/>
      <c r="G74" s="44"/>
      <c r="H74" s="44"/>
      <c r="I74" s="44"/>
      <c r="J74" s="1"/>
    </row>
    <row r="75" spans="1:10" s="26" customFormat="1" hidden="1" x14ac:dyDescent="0.2">
      <c r="A75" s="44"/>
      <c r="B75" s="53"/>
      <c r="C75" s="53"/>
      <c r="D75" s="63"/>
      <c r="E75" s="44"/>
      <c r="F75" s="44"/>
      <c r="G75" s="44"/>
      <c r="H75" s="44"/>
      <c r="I75" s="44"/>
      <c r="J75" s="1"/>
    </row>
    <row r="76" spans="1:10" s="26" customFormat="1" hidden="1" x14ac:dyDescent="0.2">
      <c r="A76" s="44"/>
      <c r="B76" s="53"/>
      <c r="C76" s="53"/>
      <c r="D76" s="63"/>
      <c r="E76" s="44"/>
      <c r="F76" s="44"/>
      <c r="G76" s="44"/>
      <c r="H76" s="44"/>
      <c r="I76" s="44"/>
      <c r="J76" s="1"/>
    </row>
    <row r="77" spans="1:10" s="26" customFormat="1" hidden="1" x14ac:dyDescent="0.2">
      <c r="A77" s="44"/>
      <c r="B77" s="53"/>
      <c r="C77" s="53"/>
      <c r="D77" s="63"/>
      <c r="E77" s="44"/>
      <c r="F77" s="44"/>
      <c r="G77" s="44"/>
      <c r="H77" s="44"/>
      <c r="I77" s="44"/>
      <c r="J77" s="1"/>
    </row>
    <row r="78" spans="1:10" s="26" customFormat="1" hidden="1" x14ac:dyDescent="0.2">
      <c r="A78" s="44"/>
      <c r="B78" s="53"/>
      <c r="C78" s="53"/>
      <c r="D78" s="63"/>
      <c r="E78" s="44"/>
      <c r="F78" s="44"/>
      <c r="G78" s="44"/>
      <c r="H78" s="44"/>
      <c r="I78" s="44"/>
      <c r="J78" s="1"/>
    </row>
    <row r="79" spans="1:10" s="26" customFormat="1" hidden="1" x14ac:dyDescent="0.2">
      <c r="A79" s="44"/>
      <c r="B79" s="53"/>
      <c r="C79" s="53"/>
      <c r="D79" s="62"/>
      <c r="E79" s="44"/>
      <c r="F79" s="44"/>
      <c r="G79" s="44"/>
      <c r="H79" s="44"/>
      <c r="I79" s="44"/>
      <c r="J79" s="1"/>
    </row>
    <row r="80" spans="1:10" s="26" customFormat="1" x14ac:dyDescent="0.2">
      <c r="A80" s="44"/>
      <c r="B80" s="115">
        <v>5</v>
      </c>
      <c r="C80" s="115"/>
      <c r="D80" s="63" t="s">
        <v>39</v>
      </c>
      <c r="E80" s="44">
        <f t="shared" ref="E80:I81" si="3">+E38</f>
        <v>3406725</v>
      </c>
      <c r="F80" s="44">
        <f t="shared" si="3"/>
        <v>3786612</v>
      </c>
      <c r="G80" s="44">
        <f t="shared" si="3"/>
        <v>6090627</v>
      </c>
      <c r="H80" s="44">
        <f t="shared" si="3"/>
        <v>8663609</v>
      </c>
      <c r="I80" s="44">
        <f t="shared" si="3"/>
        <v>16216713</v>
      </c>
      <c r="J80" s="1"/>
    </row>
    <row r="81" spans="1:10" s="26" customFormat="1" x14ac:dyDescent="0.2">
      <c r="A81" s="44"/>
      <c r="B81" s="115">
        <v>6</v>
      </c>
      <c r="C81" s="115"/>
      <c r="D81" s="63" t="s">
        <v>40</v>
      </c>
      <c r="E81" s="44">
        <f t="shared" si="3"/>
        <v>-1345018</v>
      </c>
      <c r="F81" s="44">
        <f t="shared" si="3"/>
        <v>-25000</v>
      </c>
      <c r="G81" s="44">
        <f t="shared" si="3"/>
        <v>-12823229</v>
      </c>
      <c r="H81" s="44">
        <f t="shared" si="3"/>
        <v>-22820003</v>
      </c>
      <c r="I81" s="44">
        <f t="shared" si="3"/>
        <v>-7303417</v>
      </c>
      <c r="J81" s="1"/>
    </row>
    <row r="82" spans="1:10" s="26" customFormat="1" x14ac:dyDescent="0.2">
      <c r="A82" s="44"/>
      <c r="B82" s="115">
        <v>7</v>
      </c>
      <c r="C82" s="115"/>
      <c r="D82" s="63" t="s">
        <v>41</v>
      </c>
      <c r="E82" s="44"/>
      <c r="F82" s="44"/>
      <c r="G82" s="44"/>
      <c r="H82" s="44"/>
      <c r="I82" s="44">
        <v>12498959</v>
      </c>
      <c r="J82" s="1"/>
    </row>
    <row r="83" spans="1:10" s="26" customFormat="1" x14ac:dyDescent="0.2">
      <c r="A83" s="44"/>
      <c r="B83" s="115">
        <v>8</v>
      </c>
      <c r="C83" s="115"/>
      <c r="D83" s="63" t="s">
        <v>58</v>
      </c>
      <c r="E83" s="44"/>
      <c r="F83" s="44"/>
      <c r="G83" s="44"/>
      <c r="H83" s="44"/>
      <c r="I83" s="44"/>
      <c r="J83" s="1"/>
    </row>
    <row r="84" spans="1:10" s="66" customFormat="1" x14ac:dyDescent="0.2">
      <c r="A84" s="54"/>
      <c r="B84" s="64"/>
      <c r="C84" s="64"/>
      <c r="D84" s="65" t="s">
        <v>59</v>
      </c>
      <c r="E84" s="54">
        <v>3.6999999999999998E-2</v>
      </c>
      <c r="F84" s="54">
        <v>2.4E-2</v>
      </c>
      <c r="G84" s="54">
        <v>4.1000000000000002E-2</v>
      </c>
      <c r="H84" s="54">
        <v>4.8000000000000001E-2</v>
      </c>
      <c r="I84" s="54">
        <v>4.8000000000000001E-2</v>
      </c>
    </row>
    <row r="85" spans="1:10" s="26" customFormat="1" x14ac:dyDescent="0.2">
      <c r="A85" s="44"/>
      <c r="B85" s="44"/>
      <c r="C85" s="44"/>
      <c r="D85" s="44" t="s">
        <v>60</v>
      </c>
      <c r="E85" s="44">
        <f>ROUND((E47*E84),0)</f>
        <v>10763852</v>
      </c>
      <c r="F85" s="44">
        <f>ROUND((F47*F84),0)</f>
        <v>7437509</v>
      </c>
      <c r="G85" s="44">
        <f>ROUND((G47*G84),0)</f>
        <v>13275177</v>
      </c>
      <c r="H85" s="44">
        <f>ROUND((H47*H84),0)</f>
        <v>15982639</v>
      </c>
      <c r="I85" s="44">
        <f>ROUND((I47*I84),0)</f>
        <v>16015451</v>
      </c>
      <c r="J85" s="1"/>
    </row>
    <row r="86" spans="1:10" s="26" customFormat="1" ht="15.75" x14ac:dyDescent="0.25">
      <c r="A86" s="44"/>
      <c r="B86" s="67" t="s">
        <v>61</v>
      </c>
      <c r="C86" s="67"/>
      <c r="D86" s="46" t="s">
        <v>62</v>
      </c>
      <c r="E86" s="68" t="s">
        <v>63</v>
      </c>
      <c r="F86" s="68" t="s">
        <v>63</v>
      </c>
      <c r="G86" s="68" t="s">
        <v>63</v>
      </c>
      <c r="H86" s="68" t="s">
        <v>63</v>
      </c>
      <c r="I86" s="44"/>
      <c r="J86" s="1"/>
    </row>
    <row r="87" spans="1:10" s="26" customFormat="1" ht="15.75" x14ac:dyDescent="0.25">
      <c r="A87" s="44"/>
      <c r="B87" s="67"/>
      <c r="C87" s="67"/>
      <c r="D87" s="46"/>
      <c r="E87" s="68"/>
      <c r="F87" s="68"/>
      <c r="G87" s="68"/>
      <c r="H87" s="68"/>
      <c r="I87" s="44"/>
      <c r="J87" s="1"/>
    </row>
    <row r="88" spans="1:10" s="26" customFormat="1" ht="15.75" x14ac:dyDescent="0.25">
      <c r="A88" s="44"/>
      <c r="B88" s="67"/>
      <c r="C88" s="67"/>
      <c r="D88" s="62" t="s">
        <v>65</v>
      </c>
      <c r="E88" s="44"/>
      <c r="F88" s="69"/>
      <c r="G88" s="69"/>
      <c r="H88" s="44"/>
      <c r="I88" s="44"/>
      <c r="J88" s="1"/>
    </row>
    <row r="89" spans="1:10" s="26" customFormat="1" ht="13.5" thickBot="1" x14ac:dyDescent="0.25">
      <c r="A89" s="44"/>
      <c r="B89" s="67"/>
      <c r="C89" s="67"/>
      <c r="D89" s="46" t="s">
        <v>66</v>
      </c>
      <c r="E89" s="70">
        <f>+E88+E85+E82+E81+E80+E76+E77+E78+E75+E74+E73+E72+E70+E69+E62+E61+E59+E58+E45</f>
        <v>407616916</v>
      </c>
      <c r="F89" s="70">
        <f>+F88+F85+F82+F81+F80+F76+F77+F78+F75+F74+F73+F72+F70+F69+F62+F61+F59+F58+F45</f>
        <v>430111799</v>
      </c>
      <c r="G89" s="70">
        <f>+G88+G85+G82+G81+G80+G76+G77+G78+G75+G74+G73+G72+G70+G69+G62+G61+G59+G58+G45</f>
        <v>449413993</v>
      </c>
      <c r="H89" s="70">
        <f>+H88+H85+H82+H81+H80+H76+H77+H78+H75+H74+H73+H72+H70+H69+H62+H61+H59+H58+H45</f>
        <v>467314293</v>
      </c>
      <c r="I89" s="70">
        <f>+I88+I85+I82+I81+I80+I76+I77+I78+I75+I74+I73+I72+I70+I69+I62+I61+I59+I58+I45</f>
        <v>514146204</v>
      </c>
      <c r="J89" s="1"/>
    </row>
    <row r="90" spans="1:10" s="26" customFormat="1" ht="17.25" thickTop="1" thickBot="1" x14ac:dyDescent="0.3">
      <c r="A90" s="72" t="s">
        <v>67</v>
      </c>
      <c r="B90" s="12" t="s">
        <v>68</v>
      </c>
      <c r="C90" s="3"/>
      <c r="D90" s="73"/>
      <c r="E90" s="74">
        <f>+E41-E89</f>
        <v>4232525</v>
      </c>
      <c r="F90" s="74">
        <f>+F41-F89</f>
        <v>6146373</v>
      </c>
      <c r="G90" s="75">
        <f>+G41-G89</f>
        <v>-10880837</v>
      </c>
      <c r="H90" s="75">
        <f>+H41-H89</f>
        <v>-20853468</v>
      </c>
      <c r="I90" s="75">
        <f>+I41-I89</f>
        <v>-45353988</v>
      </c>
      <c r="J90" s="1"/>
    </row>
    <row r="91" spans="1:10" s="26" customFormat="1" ht="13.5" thickTop="1" x14ac:dyDescent="0.2">
      <c r="B91" s="3"/>
      <c r="C91" s="3"/>
      <c r="D91" s="27"/>
      <c r="G91" s="28"/>
      <c r="H91" s="28"/>
      <c r="I91" s="28"/>
      <c r="J91" s="1"/>
    </row>
    <row r="92" spans="1:10" s="26" customFormat="1" ht="15.75" x14ac:dyDescent="0.25">
      <c r="A92" s="116" t="s">
        <v>80</v>
      </c>
      <c r="B92" s="116"/>
      <c r="C92" s="116"/>
      <c r="D92" s="116"/>
      <c r="E92" s="116"/>
      <c r="F92" s="116"/>
      <c r="G92" s="116"/>
      <c r="H92" s="116"/>
      <c r="I92" s="116"/>
      <c r="J92" s="1"/>
    </row>
    <row r="93" spans="1:10" s="26" customFormat="1" ht="15.75" x14ac:dyDescent="0.25">
      <c r="A93" s="6"/>
      <c r="B93" s="7"/>
      <c r="C93" s="7"/>
      <c r="D93" s="8"/>
      <c r="E93" s="9" t="s">
        <v>0</v>
      </c>
      <c r="F93" s="9" t="s">
        <v>1</v>
      </c>
      <c r="G93" s="9" t="s">
        <v>2</v>
      </c>
      <c r="H93" s="9" t="s">
        <v>3</v>
      </c>
      <c r="I93" s="9" t="s">
        <v>4</v>
      </c>
      <c r="J93" s="1"/>
    </row>
    <row r="94" spans="1:10" s="26" customFormat="1" ht="15.75" x14ac:dyDescent="0.25">
      <c r="A94" s="6" t="s">
        <v>5</v>
      </c>
      <c r="B94" s="12" t="s">
        <v>6</v>
      </c>
      <c r="C94" s="7"/>
      <c r="D94" s="8"/>
      <c r="E94" s="6"/>
      <c r="F94" s="6"/>
      <c r="G94" s="6"/>
      <c r="H94" s="6"/>
      <c r="I94" s="6"/>
      <c r="J94" s="1"/>
    </row>
    <row r="95" spans="1:10" s="26" customFormat="1" x14ac:dyDescent="0.2">
      <c r="A95" s="2"/>
      <c r="B95" s="14" t="s">
        <v>7</v>
      </c>
      <c r="C95" s="3"/>
      <c r="D95" s="15" t="s">
        <v>8</v>
      </c>
      <c r="E95" s="2">
        <f>268385386-1</f>
        <v>268385385</v>
      </c>
      <c r="F95" s="2">
        <f>305105835-12357258</f>
        <v>292748577</v>
      </c>
      <c r="G95" s="2">
        <f>351169011-14872035</f>
        <v>336296976</v>
      </c>
      <c r="H95" s="2">
        <v>317237973</v>
      </c>
      <c r="I95" s="2">
        <f>343124982-600000-134682-2417825+391704+4555017+1078174</f>
        <v>345997370</v>
      </c>
      <c r="J95" s="1"/>
    </row>
    <row r="96" spans="1:10" s="26" customFormat="1" x14ac:dyDescent="0.2">
      <c r="A96" s="2"/>
      <c r="B96" s="14"/>
      <c r="C96" s="14" t="s">
        <v>9</v>
      </c>
      <c r="D96" s="16" t="s">
        <v>10</v>
      </c>
      <c r="E96" s="2"/>
      <c r="F96" s="2"/>
      <c r="G96" s="2"/>
      <c r="H96" s="2"/>
      <c r="I96" s="2"/>
      <c r="J96" s="1"/>
    </row>
    <row r="97" spans="1:10" s="26" customFormat="1" x14ac:dyDescent="0.2">
      <c r="A97" s="17"/>
      <c r="B97" s="14"/>
      <c r="C97" s="3"/>
      <c r="D97" s="18" t="s">
        <v>11</v>
      </c>
      <c r="E97" s="17">
        <f>SUM(E98:E101)</f>
        <v>21418</v>
      </c>
      <c r="F97" s="17">
        <f>SUM(F98:F101)</f>
        <v>22466</v>
      </c>
      <c r="G97" s="17">
        <f>SUM(G98:G101)</f>
        <v>23512</v>
      </c>
      <c r="H97" s="17">
        <f>SUM(H98:H101)</f>
        <v>24835</v>
      </c>
      <c r="I97" s="17">
        <f>SUM(I98:I101)</f>
        <v>24835</v>
      </c>
      <c r="J97" s="1"/>
    </row>
    <row r="98" spans="1:10" s="26" customFormat="1" x14ac:dyDescent="0.2">
      <c r="A98" s="17"/>
      <c r="B98" s="14"/>
      <c r="C98" s="3"/>
      <c r="D98" s="18" t="s">
        <v>12</v>
      </c>
      <c r="E98" s="17">
        <v>7661</v>
      </c>
      <c r="F98" s="17">
        <v>8346</v>
      </c>
      <c r="G98" s="17">
        <v>8983</v>
      </c>
      <c r="H98" s="17">
        <v>9600</v>
      </c>
      <c r="I98" s="17">
        <v>9600</v>
      </c>
      <c r="J98" s="1"/>
    </row>
    <row r="99" spans="1:10" s="26" customFormat="1" x14ac:dyDescent="0.2">
      <c r="A99" s="17"/>
      <c r="B99" s="14"/>
      <c r="C99" s="3"/>
      <c r="D99" s="18" t="s">
        <v>13</v>
      </c>
      <c r="E99" s="17">
        <v>9561</v>
      </c>
      <c r="F99" s="17">
        <v>9753</v>
      </c>
      <c r="G99" s="17">
        <v>9993</v>
      </c>
      <c r="H99" s="17">
        <f>10425+157</f>
        <v>10582</v>
      </c>
      <c r="I99" s="17">
        <v>10582</v>
      </c>
      <c r="J99" s="1"/>
    </row>
    <row r="100" spans="1:10" s="26" customFormat="1" x14ac:dyDescent="0.2">
      <c r="A100" s="17"/>
      <c r="B100" s="14"/>
      <c r="C100" s="3"/>
      <c r="D100" s="18" t="s">
        <v>14</v>
      </c>
      <c r="E100" s="17">
        <v>3713</v>
      </c>
      <c r="F100" s="17">
        <v>3740</v>
      </c>
      <c r="G100" s="17">
        <v>3316</v>
      </c>
      <c r="H100" s="17">
        <v>3446</v>
      </c>
      <c r="I100" s="17">
        <v>3446</v>
      </c>
      <c r="J100" s="1"/>
    </row>
    <row r="101" spans="1:10" s="26" customFormat="1" x14ac:dyDescent="0.2">
      <c r="A101" s="17"/>
      <c r="B101" s="14"/>
      <c r="C101" s="3"/>
      <c r="D101" s="18" t="s">
        <v>15</v>
      </c>
      <c r="E101" s="17">
        <v>483</v>
      </c>
      <c r="F101" s="17">
        <v>627</v>
      </c>
      <c r="G101" s="17">
        <v>1220</v>
      </c>
      <c r="H101" s="17">
        <f>1300-93</f>
        <v>1207</v>
      </c>
      <c r="I101" s="17">
        <f>1300-93</f>
        <v>1207</v>
      </c>
      <c r="J101" s="1"/>
    </row>
    <row r="102" spans="1:10" s="26" customFormat="1" x14ac:dyDescent="0.2">
      <c r="A102" s="2"/>
      <c r="B102" s="14" t="s">
        <v>16</v>
      </c>
      <c r="C102" s="3"/>
      <c r="D102" s="15" t="s">
        <v>17</v>
      </c>
      <c r="E102" s="2"/>
      <c r="F102" s="2"/>
      <c r="G102" s="2"/>
      <c r="H102" s="2"/>
      <c r="I102" s="2"/>
      <c r="J102" s="1"/>
    </row>
    <row r="103" spans="1:10" s="26" customFormat="1" x14ac:dyDescent="0.2">
      <c r="A103" s="2"/>
      <c r="B103" s="117">
        <v>1</v>
      </c>
      <c r="C103" s="117"/>
      <c r="D103" s="15" t="s">
        <v>18</v>
      </c>
      <c r="E103" s="2"/>
      <c r="F103" s="2"/>
      <c r="G103" s="2"/>
      <c r="H103" s="2"/>
      <c r="I103" s="2"/>
      <c r="J103" s="1"/>
    </row>
    <row r="104" spans="1:10" s="26" customFormat="1" x14ac:dyDescent="0.2">
      <c r="A104" s="2"/>
      <c r="B104" s="22"/>
      <c r="C104" s="22"/>
      <c r="D104" s="4" t="s">
        <v>19</v>
      </c>
      <c r="E104" s="2"/>
      <c r="F104" s="2"/>
      <c r="G104" s="2"/>
      <c r="H104" s="2"/>
      <c r="I104" s="2"/>
      <c r="J104" s="1"/>
    </row>
    <row r="105" spans="1:10" s="26" customFormat="1" x14ac:dyDescent="0.2">
      <c r="A105" s="23"/>
      <c r="B105" s="22"/>
      <c r="C105" s="22"/>
      <c r="D105" s="24" t="s">
        <v>20</v>
      </c>
      <c r="E105" s="23">
        <v>2.8000000000000001E-2</v>
      </c>
      <c r="F105" s="23">
        <v>2.5000000000000001E-2</v>
      </c>
      <c r="G105" s="23">
        <v>2.5000000000000001E-2</v>
      </c>
      <c r="H105" s="23">
        <v>2.5000000000000001E-2</v>
      </c>
      <c r="I105" s="23">
        <v>0.02</v>
      </c>
      <c r="J105" s="1"/>
    </row>
    <row r="106" spans="1:10" s="26" customFormat="1" x14ac:dyDescent="0.2">
      <c r="B106" s="22"/>
      <c r="C106" s="22"/>
      <c r="D106" s="27" t="s">
        <v>21</v>
      </c>
      <c r="E106" s="26">
        <f>113852+4464438+487730</f>
        <v>5066020</v>
      </c>
      <c r="F106" s="26">
        <f>-2000+3972033+104462</f>
        <v>4074495</v>
      </c>
      <c r="G106" s="26">
        <f>4196488+95233</f>
        <v>4291721</v>
      </c>
      <c r="H106" s="26">
        <f>4445507+109510</f>
        <v>4555017</v>
      </c>
      <c r="I106" s="26">
        <f>2507730+68996</f>
        <v>2576726</v>
      </c>
      <c r="J106" s="1"/>
    </row>
    <row r="107" spans="1:10" s="26" customFormat="1" x14ac:dyDescent="0.2">
      <c r="B107" s="22"/>
      <c r="C107" s="22"/>
      <c r="D107" s="27" t="s">
        <v>22</v>
      </c>
      <c r="E107" s="26">
        <f>1602358+35887-17493</f>
        <v>1620752</v>
      </c>
      <c r="F107" s="26">
        <f>1291807+37951</f>
        <v>1329758</v>
      </c>
      <c r="G107" s="26">
        <f>1402702+34821</f>
        <v>1437523</v>
      </c>
      <c r="H107" s="26">
        <f>2098244-211829+47616</f>
        <v>1934031</v>
      </c>
      <c r="I107" s="26">
        <v>1518339</v>
      </c>
      <c r="J107" s="1"/>
    </row>
    <row r="108" spans="1:10" s="26" customFormat="1" x14ac:dyDescent="0.2">
      <c r="B108" s="22"/>
      <c r="C108" s="22"/>
      <c r="D108" s="27" t="s">
        <v>23</v>
      </c>
      <c r="E108" s="26">
        <v>-1565532</v>
      </c>
      <c r="H108" s="26">
        <f>-1990734-373594</f>
        <v>-2364328</v>
      </c>
      <c r="I108" s="26">
        <v>1919547</v>
      </c>
      <c r="J108" s="1"/>
    </row>
    <row r="109" spans="1:10" s="26" customFormat="1" x14ac:dyDescent="0.2">
      <c r="B109" s="3"/>
      <c r="C109" s="3"/>
      <c r="D109" s="27" t="s">
        <v>24</v>
      </c>
      <c r="J109" s="1"/>
    </row>
    <row r="110" spans="1:10" s="26" customFormat="1" x14ac:dyDescent="0.2">
      <c r="B110" s="3"/>
      <c r="C110" s="3"/>
      <c r="D110" s="27" t="s">
        <v>25</v>
      </c>
      <c r="E110" s="26">
        <f>2920602</f>
        <v>2920602</v>
      </c>
      <c r="H110" s="26">
        <f>1494248+747124</f>
        <v>2241372</v>
      </c>
      <c r="I110" s="26">
        <f>1078174+1868038</f>
        <v>2946212</v>
      </c>
      <c r="J110" s="1"/>
    </row>
    <row r="111" spans="1:10" s="26" customFormat="1" x14ac:dyDescent="0.2">
      <c r="B111" s="3"/>
      <c r="C111" s="3"/>
      <c r="D111" s="27" t="s">
        <v>26</v>
      </c>
      <c r="E111" s="26">
        <f>20925+516394</f>
        <v>537319</v>
      </c>
      <c r="H111" s="26">
        <v>-1179987</v>
      </c>
      <c r="I111" s="26">
        <v>240959</v>
      </c>
      <c r="J111" s="1"/>
    </row>
    <row r="112" spans="1:10" s="26" customFormat="1" x14ac:dyDescent="0.2">
      <c r="A112" s="2"/>
      <c r="B112" s="117">
        <v>2</v>
      </c>
      <c r="C112" s="117"/>
      <c r="D112" s="16" t="s">
        <v>27</v>
      </c>
      <c r="E112" s="2"/>
      <c r="F112" s="2"/>
      <c r="G112" s="2"/>
      <c r="H112" s="2"/>
      <c r="I112" s="2"/>
      <c r="J112" s="1"/>
    </row>
    <row r="113" spans="1:10" s="26" customFormat="1" x14ac:dyDescent="0.2">
      <c r="B113" s="22"/>
      <c r="C113" s="22"/>
      <c r="D113" s="31" t="s">
        <v>28</v>
      </c>
      <c r="J113" s="1"/>
    </row>
    <row r="114" spans="1:10" s="26" customFormat="1" x14ac:dyDescent="0.2">
      <c r="B114" s="22"/>
      <c r="C114" s="22"/>
      <c r="D114" s="31" t="s">
        <v>29</v>
      </c>
      <c r="E114" s="26">
        <v>6392</v>
      </c>
      <c r="F114" s="26">
        <v>7651</v>
      </c>
      <c r="G114" s="26">
        <v>5772</v>
      </c>
      <c r="H114" s="26">
        <v>6066</v>
      </c>
      <c r="I114" s="26">
        <v>0</v>
      </c>
      <c r="J114" s="1"/>
    </row>
    <row r="115" spans="1:10" s="26" customFormat="1" x14ac:dyDescent="0.2">
      <c r="B115" s="22"/>
      <c r="C115" s="22"/>
      <c r="D115" s="32" t="s">
        <v>30</v>
      </c>
      <c r="E115" s="26">
        <v>9415</v>
      </c>
      <c r="F115" s="26">
        <v>9696</v>
      </c>
      <c r="G115" s="26">
        <v>8664</v>
      </c>
      <c r="H115" s="26">
        <v>7846</v>
      </c>
      <c r="I115" s="26">
        <v>0</v>
      </c>
      <c r="J115" s="1"/>
    </row>
    <row r="116" spans="1:10" s="26" customFormat="1" x14ac:dyDescent="0.2">
      <c r="B116" s="22"/>
      <c r="C116" s="22"/>
      <c r="D116" s="32" t="s">
        <v>31</v>
      </c>
      <c r="E116" s="26">
        <v>15219</v>
      </c>
      <c r="F116" s="26">
        <v>16176</v>
      </c>
      <c r="G116" s="26">
        <v>15417</v>
      </c>
      <c r="H116" s="26">
        <v>13264</v>
      </c>
      <c r="I116" s="26">
        <v>0</v>
      </c>
      <c r="J116" s="1"/>
    </row>
    <row r="117" spans="1:10" s="26" customFormat="1" x14ac:dyDescent="0.2">
      <c r="B117" s="22"/>
      <c r="C117" s="22"/>
      <c r="D117" s="32" t="s">
        <v>32</v>
      </c>
      <c r="E117" s="26" t="s">
        <v>33</v>
      </c>
      <c r="F117" s="26">
        <v>26970</v>
      </c>
      <c r="G117" s="26">
        <v>23933</v>
      </c>
      <c r="H117" s="26">
        <v>20240</v>
      </c>
      <c r="I117" s="26">
        <v>0</v>
      </c>
      <c r="J117" s="1"/>
    </row>
    <row r="118" spans="1:10" s="26" customFormat="1" x14ac:dyDescent="0.2">
      <c r="A118" s="17"/>
      <c r="B118" s="22"/>
      <c r="C118" s="22"/>
      <c r="D118" s="34" t="s">
        <v>35</v>
      </c>
      <c r="E118" s="17"/>
      <c r="F118" s="17"/>
      <c r="G118" s="17"/>
      <c r="H118" s="17"/>
      <c r="I118" s="60"/>
      <c r="J118" s="1"/>
    </row>
    <row r="119" spans="1:10" s="26" customFormat="1" x14ac:dyDescent="0.2">
      <c r="A119" s="17"/>
      <c r="B119" s="22"/>
      <c r="C119" s="22"/>
      <c r="D119" s="33" t="s">
        <v>29</v>
      </c>
      <c r="E119" s="17"/>
      <c r="F119" s="17">
        <v>685</v>
      </c>
      <c r="G119" s="17">
        <f>637</f>
        <v>637</v>
      </c>
      <c r="H119" s="17">
        <f>617</f>
        <v>617</v>
      </c>
      <c r="I119" s="60">
        <v>0</v>
      </c>
      <c r="J119" s="1"/>
    </row>
    <row r="120" spans="1:10" s="26" customFormat="1" x14ac:dyDescent="0.2">
      <c r="A120" s="17"/>
      <c r="B120" s="22"/>
      <c r="C120" s="22"/>
      <c r="D120" s="36" t="s">
        <v>30</v>
      </c>
      <c r="E120" s="17"/>
      <c r="F120" s="17">
        <f>+(50+142)</f>
        <v>192</v>
      </c>
      <c r="G120" s="17">
        <f>240</f>
        <v>240</v>
      </c>
      <c r="H120" s="17">
        <f>432</f>
        <v>432</v>
      </c>
      <c r="I120" s="60">
        <v>0</v>
      </c>
      <c r="J120" s="1"/>
    </row>
    <row r="121" spans="1:10" s="26" customFormat="1" x14ac:dyDescent="0.2">
      <c r="A121" s="17"/>
      <c r="B121" s="22"/>
      <c r="C121" s="22"/>
      <c r="D121" s="36" t="s">
        <v>31</v>
      </c>
      <c r="E121" s="17">
        <v>135</v>
      </c>
      <c r="F121" s="17">
        <f>+(12+15)</f>
        <v>27</v>
      </c>
      <c r="G121" s="17">
        <f>169</f>
        <v>169</v>
      </c>
      <c r="H121" s="17">
        <f>155</f>
        <v>155</v>
      </c>
      <c r="I121" s="60">
        <v>0</v>
      </c>
      <c r="J121" s="1"/>
    </row>
    <row r="122" spans="1:10" s="26" customFormat="1" x14ac:dyDescent="0.2">
      <c r="A122" s="17"/>
      <c r="B122" s="22"/>
      <c r="C122" s="22"/>
      <c r="D122" s="36" t="s">
        <v>32</v>
      </c>
      <c r="E122" s="17"/>
      <c r="F122" s="17">
        <f>144</f>
        <v>144</v>
      </c>
      <c r="G122" s="17"/>
      <c r="H122" s="17">
        <f>63</f>
        <v>63</v>
      </c>
      <c r="I122" s="60">
        <v>0</v>
      </c>
      <c r="J122" s="1"/>
    </row>
    <row r="123" spans="1:10" s="26" customFormat="1" x14ac:dyDescent="0.2">
      <c r="B123" s="22"/>
      <c r="C123" s="22"/>
      <c r="D123" s="32" t="s">
        <v>36</v>
      </c>
      <c r="E123" s="26">
        <v>2048554</v>
      </c>
      <c r="F123" s="26">
        <v>10744087</v>
      </c>
      <c r="G123" s="26">
        <v>8361862</v>
      </c>
      <c r="H123" s="26">
        <v>9839447</v>
      </c>
      <c r="J123" s="1"/>
    </row>
    <row r="124" spans="1:10" s="26" customFormat="1" x14ac:dyDescent="0.2">
      <c r="B124" s="117">
        <v>3</v>
      </c>
      <c r="C124" s="117"/>
      <c r="D124" s="111" t="s">
        <v>77</v>
      </c>
      <c r="E124" s="26">
        <v>21329</v>
      </c>
      <c r="F124" s="26">
        <v>211363</v>
      </c>
      <c r="G124" s="26">
        <v>1878447</v>
      </c>
      <c r="H124" s="26">
        <f>274138+193622</f>
        <v>467760</v>
      </c>
      <c r="I124" s="26">
        <v>910470</v>
      </c>
      <c r="J124" s="1"/>
    </row>
    <row r="125" spans="1:10" s="26" customFormat="1" x14ac:dyDescent="0.2">
      <c r="B125" s="117">
        <v>4</v>
      </c>
      <c r="C125" s="117"/>
      <c r="D125" s="37" t="s">
        <v>38</v>
      </c>
      <c r="E125" s="26">
        <f>1288848+860597+825340+1971311+3919001+3763088+12200000+8047377+1305928+653378</f>
        <v>34834868</v>
      </c>
      <c r="F125" s="26">
        <f>1890838+1068640+431750+8000000+12200000+135889+1000000+250000+2250000+2380003+200000+409575</f>
        <v>30216695</v>
      </c>
      <c r="G125" s="26">
        <f>1017141+486000+1500000+75000+133111+500000+15237</f>
        <v>3726489</v>
      </c>
      <c r="H125" s="26">
        <f>42000+15237+395111+134272+7000+8250+300023+35725+136054+222900+45236+215838+72460+417978+5218712+753300+600000</f>
        <v>8620096</v>
      </c>
      <c r="I125" s="26">
        <f>572789+1100000+1593600</f>
        <v>3266389</v>
      </c>
      <c r="J125" s="1"/>
    </row>
    <row r="126" spans="1:10" s="26" customFormat="1" x14ac:dyDescent="0.2">
      <c r="B126" s="117">
        <v>5</v>
      </c>
      <c r="C126" s="117"/>
      <c r="D126" s="38" t="s">
        <v>39</v>
      </c>
      <c r="E126" s="26">
        <v>2713853</v>
      </c>
      <c r="F126" s="26">
        <v>3045689</v>
      </c>
      <c r="G126" s="26">
        <v>5133380</v>
      </c>
      <c r="H126" s="26">
        <f>5183824-35193</f>
        <v>5148631</v>
      </c>
      <c r="I126" s="26">
        <f>7226743+11474+4188111</f>
        <v>11426328</v>
      </c>
      <c r="J126" s="1"/>
    </row>
    <row r="127" spans="1:10" s="26" customFormat="1" x14ac:dyDescent="0.2">
      <c r="B127" s="117">
        <v>6</v>
      </c>
      <c r="C127" s="117"/>
      <c r="D127" s="38" t="s">
        <v>40</v>
      </c>
      <c r="E127" s="26">
        <f>-311221-662006-429391-40632-123057</f>
        <v>-1566307</v>
      </c>
      <c r="G127" s="26">
        <f>-1971311-1161677-1288848-5133380-500000-75000-135889-1718873-15202-176031-1000000-500000</f>
        <v>-13676211</v>
      </c>
      <c r="I127" s="26">
        <v>-5449097</v>
      </c>
      <c r="J127" s="1"/>
    </row>
    <row r="128" spans="1:10" s="26" customFormat="1" x14ac:dyDescent="0.2">
      <c r="B128" s="117">
        <v>7</v>
      </c>
      <c r="C128" s="117"/>
      <c r="D128" s="38" t="s">
        <v>41</v>
      </c>
      <c r="I128" s="26">
        <v>6205814</v>
      </c>
      <c r="J128" s="1"/>
    </row>
    <row r="129" spans="1:10" s="26" customFormat="1" x14ac:dyDescent="0.2">
      <c r="B129" s="22"/>
      <c r="C129" s="22"/>
      <c r="D129" s="38" t="s">
        <v>42</v>
      </c>
      <c r="E129" s="39">
        <f>SUM(E123:E128)+E111+E110+E109+E108+E107+E106+E95</f>
        <v>315016843</v>
      </c>
      <c r="F129" s="39">
        <f>SUM(F123:F128)+F111+F110+F109+F108+F107+F106+F95</f>
        <v>342370664</v>
      </c>
      <c r="G129" s="39">
        <f>SUM(G123:G128)+G111+G110+G109+G108+G107+G106+G95</f>
        <v>347450187</v>
      </c>
      <c r="H129" s="39">
        <f>SUM(H123:H128)+H111+H110+H109+H108+H107+H106+H95</f>
        <v>346500012</v>
      </c>
      <c r="I129" s="39">
        <f>SUM(I123:I128)+I111+I110+I109+I108+I107+I106+I95</f>
        <v>371559057</v>
      </c>
      <c r="J129" s="1"/>
    </row>
    <row r="130" spans="1:10" s="26" customFormat="1" x14ac:dyDescent="0.2">
      <c r="B130" s="3"/>
      <c r="C130" s="3"/>
      <c r="D130" s="27"/>
      <c r="J130" s="1"/>
    </row>
    <row r="131" spans="1:10" s="26" customFormat="1" x14ac:dyDescent="0.2">
      <c r="B131" s="3"/>
      <c r="C131" s="3"/>
      <c r="D131" s="27"/>
      <c r="J131" s="1"/>
    </row>
    <row r="132" spans="1:10" s="26" customFormat="1" x14ac:dyDescent="0.2">
      <c r="B132" s="3"/>
      <c r="C132" s="3"/>
      <c r="D132" s="27"/>
      <c r="J132" s="1"/>
    </row>
    <row r="133" spans="1:10" s="26" customFormat="1" x14ac:dyDescent="0.2">
      <c r="B133" s="3"/>
      <c r="C133" s="3"/>
      <c r="D133" s="27"/>
      <c r="J133" s="1"/>
    </row>
    <row r="134" spans="1:10" s="26" customFormat="1" x14ac:dyDescent="0.2">
      <c r="B134" s="3"/>
      <c r="C134" s="3"/>
      <c r="D134" s="27"/>
      <c r="J134" s="1"/>
    </row>
    <row r="135" spans="1:10" s="26" customFormat="1" x14ac:dyDescent="0.2">
      <c r="B135" s="3"/>
      <c r="C135" s="3"/>
      <c r="D135" s="27"/>
      <c r="J135" s="1"/>
    </row>
    <row r="136" spans="1:10" s="26" customFormat="1" ht="15.75" x14ac:dyDescent="0.25">
      <c r="A136" s="116" t="s">
        <v>81</v>
      </c>
      <c r="B136" s="116"/>
      <c r="C136" s="116"/>
      <c r="D136" s="116"/>
      <c r="E136" s="116"/>
      <c r="F136" s="116"/>
      <c r="G136" s="116"/>
      <c r="H136" s="116"/>
      <c r="I136" s="116"/>
      <c r="J136" s="1"/>
    </row>
    <row r="137" spans="1:10" s="26" customFormat="1" ht="11.25" customHeight="1" x14ac:dyDescent="0.25">
      <c r="A137" s="6"/>
      <c r="B137" s="7"/>
      <c r="C137" s="7"/>
      <c r="D137" s="8"/>
      <c r="E137" s="113" t="s">
        <v>0</v>
      </c>
      <c r="F137" s="113" t="s">
        <v>1</v>
      </c>
      <c r="G137" s="113" t="s">
        <v>2</v>
      </c>
      <c r="H137" s="113" t="s">
        <v>3</v>
      </c>
      <c r="I137" s="113" t="s">
        <v>4</v>
      </c>
      <c r="J137" s="1"/>
    </row>
    <row r="138" spans="1:10" s="26" customFormat="1" ht="15.75" x14ac:dyDescent="0.25">
      <c r="A138" s="76" t="s">
        <v>43</v>
      </c>
      <c r="B138" s="77" t="s">
        <v>44</v>
      </c>
      <c r="C138" s="78"/>
      <c r="D138" s="79"/>
      <c r="E138" s="80"/>
      <c r="F138" s="80"/>
      <c r="G138" s="80"/>
      <c r="H138" s="80"/>
      <c r="I138" s="80"/>
      <c r="J138" s="1"/>
    </row>
    <row r="139" spans="1:10" s="26" customFormat="1" x14ac:dyDescent="0.2">
      <c r="A139" s="80"/>
      <c r="B139" s="83" t="s">
        <v>7</v>
      </c>
      <c r="C139" s="81"/>
      <c r="D139" s="84" t="s">
        <v>8</v>
      </c>
      <c r="E139" s="80">
        <f>+E95</f>
        <v>268385385</v>
      </c>
      <c r="F139" s="80">
        <f>+E180-12200000</f>
        <v>293699245</v>
      </c>
      <c r="G139" s="80">
        <f>+F180-12200000-500000</f>
        <v>327362866</v>
      </c>
      <c r="H139" s="80">
        <f>+G180-2283065-500000</f>
        <v>342987105</v>
      </c>
      <c r="I139" s="80">
        <f>+H180-600000-134682</f>
        <v>367006100</v>
      </c>
      <c r="J139" s="1"/>
    </row>
    <row r="140" spans="1:10" s="26" customFormat="1" x14ac:dyDescent="0.2">
      <c r="A140" s="80"/>
      <c r="B140" s="83"/>
      <c r="C140" s="81"/>
      <c r="D140" s="84" t="s">
        <v>45</v>
      </c>
      <c r="E140" s="80">
        <v>67764379</v>
      </c>
      <c r="F140" s="80">
        <v>79560757</v>
      </c>
      <c r="G140" s="80">
        <f>87611259+305045</f>
        <v>87916304</v>
      </c>
      <c r="H140" s="80">
        <f>97690890+803410</f>
        <v>98494300</v>
      </c>
      <c r="I140" s="80">
        <f>109690007+1569058</f>
        <v>111259065</v>
      </c>
      <c r="J140" s="1"/>
    </row>
    <row r="141" spans="1:10" s="26" customFormat="1" x14ac:dyDescent="0.2">
      <c r="A141" s="80"/>
      <c r="B141" s="83"/>
      <c r="C141" s="81"/>
      <c r="D141" s="84" t="s">
        <v>46</v>
      </c>
      <c r="E141" s="80">
        <f>+E139-E140</f>
        <v>200621006</v>
      </c>
      <c r="F141" s="80">
        <f>+F139-F140</f>
        <v>214138488</v>
      </c>
      <c r="G141" s="80">
        <f>+G139-G140</f>
        <v>239446562</v>
      </c>
      <c r="H141" s="80">
        <f>+H139-H140</f>
        <v>244492805</v>
      </c>
      <c r="I141" s="80">
        <f>+I139-I140</f>
        <v>255747035</v>
      </c>
      <c r="J141" s="1"/>
    </row>
    <row r="142" spans="1:10" s="26" customFormat="1" x14ac:dyDescent="0.2">
      <c r="A142" s="85"/>
      <c r="B142" s="83"/>
      <c r="C142" s="83" t="s">
        <v>9</v>
      </c>
      <c r="D142" s="86" t="s">
        <v>10</v>
      </c>
      <c r="E142" s="85"/>
      <c r="F142" s="85"/>
      <c r="G142" s="85"/>
      <c r="H142" s="85"/>
      <c r="I142" s="85"/>
      <c r="J142" s="1"/>
    </row>
    <row r="143" spans="1:10" s="26" customFormat="1" x14ac:dyDescent="0.2">
      <c r="A143" s="85"/>
      <c r="B143" s="83"/>
      <c r="C143" s="81"/>
      <c r="D143" s="87" t="s">
        <v>47</v>
      </c>
      <c r="E143" s="85"/>
      <c r="F143" s="85"/>
      <c r="G143" s="85"/>
      <c r="H143" s="85"/>
      <c r="I143" s="85"/>
      <c r="J143" s="1"/>
    </row>
    <row r="144" spans="1:10" s="26" customFormat="1" x14ac:dyDescent="0.2">
      <c r="A144" s="88"/>
      <c r="B144" s="89"/>
      <c r="C144" s="88"/>
      <c r="D144" s="90" t="s">
        <v>12</v>
      </c>
      <c r="E144" s="88">
        <f t="shared" ref="E144:I147" si="4">+E98</f>
        <v>7661</v>
      </c>
      <c r="F144" s="88">
        <f t="shared" si="4"/>
        <v>8346</v>
      </c>
      <c r="G144" s="88">
        <f t="shared" si="4"/>
        <v>8983</v>
      </c>
      <c r="H144" s="88">
        <f t="shared" si="4"/>
        <v>9600</v>
      </c>
      <c r="I144" s="88">
        <f t="shared" si="4"/>
        <v>9600</v>
      </c>
      <c r="J144" s="1"/>
    </row>
    <row r="145" spans="1:10" s="26" customFormat="1" x14ac:dyDescent="0.2">
      <c r="A145" s="88"/>
      <c r="B145" s="89"/>
      <c r="C145" s="88"/>
      <c r="D145" s="90" t="s">
        <v>13</v>
      </c>
      <c r="E145" s="88">
        <f t="shared" si="4"/>
        <v>9561</v>
      </c>
      <c r="F145" s="88">
        <f t="shared" si="4"/>
        <v>9753</v>
      </c>
      <c r="G145" s="88">
        <f t="shared" si="4"/>
        <v>9993</v>
      </c>
      <c r="H145" s="88">
        <f t="shared" si="4"/>
        <v>10582</v>
      </c>
      <c r="I145" s="88">
        <f t="shared" si="4"/>
        <v>10582</v>
      </c>
      <c r="J145" s="1"/>
    </row>
    <row r="146" spans="1:10" s="26" customFormat="1" x14ac:dyDescent="0.2">
      <c r="A146" s="88"/>
      <c r="B146" s="89"/>
      <c r="C146" s="88"/>
      <c r="D146" s="90" t="s">
        <v>14</v>
      </c>
      <c r="E146" s="88">
        <f t="shared" si="4"/>
        <v>3713</v>
      </c>
      <c r="F146" s="88">
        <f t="shared" si="4"/>
        <v>3740</v>
      </c>
      <c r="G146" s="88">
        <f t="shared" si="4"/>
        <v>3316</v>
      </c>
      <c r="H146" s="88">
        <f t="shared" si="4"/>
        <v>3446</v>
      </c>
      <c r="I146" s="88">
        <f t="shared" si="4"/>
        <v>3446</v>
      </c>
      <c r="J146" s="1"/>
    </row>
    <row r="147" spans="1:10" s="26" customFormat="1" x14ac:dyDescent="0.2">
      <c r="A147" s="88"/>
      <c r="B147" s="89"/>
      <c r="C147" s="88"/>
      <c r="D147" s="91" t="s">
        <v>15</v>
      </c>
      <c r="E147" s="88">
        <f t="shared" si="4"/>
        <v>483</v>
      </c>
      <c r="F147" s="88">
        <f t="shared" si="4"/>
        <v>627</v>
      </c>
      <c r="G147" s="88">
        <f t="shared" si="4"/>
        <v>1220</v>
      </c>
      <c r="H147" s="88">
        <f t="shared" si="4"/>
        <v>1207</v>
      </c>
      <c r="I147" s="88">
        <f t="shared" si="4"/>
        <v>1207</v>
      </c>
      <c r="J147" s="1"/>
    </row>
    <row r="148" spans="1:10" s="26" customFormat="1" x14ac:dyDescent="0.2">
      <c r="A148" s="85"/>
      <c r="B148" s="83" t="s">
        <v>16</v>
      </c>
      <c r="C148" s="81"/>
      <c r="D148" s="93" t="s">
        <v>17</v>
      </c>
      <c r="E148" s="85"/>
      <c r="F148" s="85"/>
      <c r="G148" s="85"/>
      <c r="H148" s="85"/>
      <c r="I148" s="85"/>
      <c r="J148" s="1"/>
    </row>
    <row r="149" spans="1:10" s="26" customFormat="1" x14ac:dyDescent="0.2">
      <c r="A149" s="85"/>
      <c r="B149" s="118">
        <v>1</v>
      </c>
      <c r="C149" s="118"/>
      <c r="D149" s="93" t="s">
        <v>18</v>
      </c>
      <c r="E149" s="85"/>
      <c r="F149" s="85"/>
      <c r="G149" s="85"/>
      <c r="H149" s="85"/>
      <c r="I149" s="85"/>
      <c r="J149" s="1"/>
    </row>
    <row r="150" spans="1:10" s="26" customFormat="1" x14ac:dyDescent="0.2">
      <c r="A150" s="85"/>
      <c r="B150" s="94"/>
      <c r="C150" s="94"/>
      <c r="D150" s="92" t="s">
        <v>19</v>
      </c>
      <c r="E150" s="92"/>
      <c r="F150" s="85"/>
      <c r="G150" s="85"/>
      <c r="H150" s="85"/>
      <c r="I150" s="85"/>
      <c r="J150" s="1"/>
    </row>
    <row r="151" spans="1:10" s="26" customFormat="1" x14ac:dyDescent="0.2">
      <c r="A151" s="85"/>
      <c r="B151" s="81"/>
      <c r="C151" s="81"/>
      <c r="D151" s="87" t="s">
        <v>20</v>
      </c>
      <c r="E151" s="95">
        <f t="shared" ref="E151:I152" si="5">+E105</f>
        <v>2.8000000000000001E-2</v>
      </c>
      <c r="F151" s="95">
        <f t="shared" si="5"/>
        <v>2.5000000000000001E-2</v>
      </c>
      <c r="G151" s="95">
        <f t="shared" si="5"/>
        <v>2.5000000000000001E-2</v>
      </c>
      <c r="H151" s="95">
        <f t="shared" si="5"/>
        <v>2.5000000000000001E-2</v>
      </c>
      <c r="I151" s="95">
        <f t="shared" si="5"/>
        <v>0.02</v>
      </c>
      <c r="J151" s="1"/>
    </row>
    <row r="152" spans="1:10" s="26" customFormat="1" x14ac:dyDescent="0.2">
      <c r="A152" s="80"/>
      <c r="B152" s="96"/>
      <c r="C152" s="96"/>
      <c r="D152" s="82" t="s">
        <v>21</v>
      </c>
      <c r="E152" s="80">
        <f t="shared" si="5"/>
        <v>5066020</v>
      </c>
      <c r="F152" s="80">
        <f t="shared" si="5"/>
        <v>4074495</v>
      </c>
      <c r="G152" s="80">
        <f t="shared" si="5"/>
        <v>4291721</v>
      </c>
      <c r="H152" s="80">
        <f t="shared" si="5"/>
        <v>4555017</v>
      </c>
      <c r="I152" s="80">
        <f t="shared" si="5"/>
        <v>2576726</v>
      </c>
      <c r="J152" s="1"/>
    </row>
    <row r="153" spans="1:10" s="26" customFormat="1" x14ac:dyDescent="0.2">
      <c r="A153" s="80"/>
      <c r="B153" s="96"/>
      <c r="C153" s="96"/>
      <c r="D153" s="82" t="s">
        <v>23</v>
      </c>
      <c r="E153" s="82">
        <f>+E108</f>
        <v>-1565532</v>
      </c>
      <c r="F153" s="82">
        <f>+F108</f>
        <v>0</v>
      </c>
      <c r="G153" s="82">
        <f>+G108</f>
        <v>0</v>
      </c>
      <c r="H153" s="82">
        <f>+H108</f>
        <v>-2364328</v>
      </c>
      <c r="I153" s="82">
        <f>+I108</f>
        <v>1919547</v>
      </c>
      <c r="J153" s="1"/>
    </row>
    <row r="154" spans="1:10" s="26" customFormat="1" x14ac:dyDescent="0.2">
      <c r="A154" s="85"/>
      <c r="B154" s="81"/>
      <c r="C154" s="81"/>
      <c r="D154" s="92" t="s">
        <v>24</v>
      </c>
      <c r="E154" s="92"/>
      <c r="F154" s="92"/>
      <c r="G154" s="92"/>
      <c r="H154" s="92"/>
      <c r="I154" s="92"/>
      <c r="J154" s="1"/>
    </row>
    <row r="155" spans="1:10" s="26" customFormat="1" x14ac:dyDescent="0.2">
      <c r="A155" s="80"/>
      <c r="B155" s="96"/>
      <c r="C155" s="96"/>
      <c r="D155" s="82" t="s">
        <v>25</v>
      </c>
      <c r="E155" s="82">
        <f t="shared" ref="E155:I156" si="6">+E110</f>
        <v>2920602</v>
      </c>
      <c r="F155" s="82">
        <f t="shared" si="6"/>
        <v>0</v>
      </c>
      <c r="G155" s="82">
        <f t="shared" si="6"/>
        <v>0</v>
      </c>
      <c r="H155" s="82">
        <f t="shared" si="6"/>
        <v>2241372</v>
      </c>
      <c r="I155" s="82">
        <f t="shared" si="6"/>
        <v>2946212</v>
      </c>
      <c r="J155" s="1"/>
    </row>
    <row r="156" spans="1:10" s="26" customFormat="1" x14ac:dyDescent="0.2">
      <c r="A156" s="80"/>
      <c r="B156" s="96"/>
      <c r="C156" s="96"/>
      <c r="D156" s="82" t="s">
        <v>26</v>
      </c>
      <c r="E156" s="82">
        <f t="shared" si="6"/>
        <v>537319</v>
      </c>
      <c r="F156" s="82">
        <f t="shared" si="6"/>
        <v>0</v>
      </c>
      <c r="G156" s="82">
        <f t="shared" si="6"/>
        <v>0</v>
      </c>
      <c r="H156" s="82">
        <f t="shared" si="6"/>
        <v>-1179987</v>
      </c>
      <c r="I156" s="82">
        <f t="shared" si="6"/>
        <v>240959</v>
      </c>
      <c r="J156" s="1"/>
    </row>
    <row r="157" spans="1:10" s="26" customFormat="1" x14ac:dyDescent="0.2">
      <c r="A157" s="97"/>
      <c r="B157" s="115">
        <v>2</v>
      </c>
      <c r="C157" s="115"/>
      <c r="D157" s="52" t="s">
        <v>27</v>
      </c>
      <c r="E157" s="97"/>
      <c r="F157" s="97"/>
      <c r="G157" s="97"/>
      <c r="H157" s="97"/>
      <c r="I157" s="97"/>
      <c r="J157" s="1"/>
    </row>
    <row r="158" spans="1:10" s="26" customFormat="1" x14ac:dyDescent="0.2">
      <c r="A158" s="97"/>
      <c r="B158" s="53"/>
      <c r="C158" s="53"/>
      <c r="D158" s="98" t="s">
        <v>28</v>
      </c>
      <c r="E158" s="97"/>
      <c r="F158" s="97"/>
      <c r="G158" s="97"/>
      <c r="H158" s="97"/>
      <c r="I158" s="97"/>
      <c r="J158" s="1"/>
    </row>
    <row r="159" spans="1:10" s="26" customFormat="1" x14ac:dyDescent="0.2">
      <c r="A159" s="97"/>
      <c r="B159" s="53"/>
      <c r="C159" s="53"/>
      <c r="D159" s="98" t="s">
        <v>48</v>
      </c>
      <c r="E159" s="97">
        <v>8067</v>
      </c>
      <c r="F159" s="97">
        <v>8067</v>
      </c>
      <c r="G159" s="97">
        <v>8067</v>
      </c>
      <c r="H159" s="97">
        <v>8067</v>
      </c>
      <c r="I159" s="97">
        <v>8067</v>
      </c>
      <c r="J159" s="1"/>
    </row>
    <row r="160" spans="1:10" s="26" customFormat="1" x14ac:dyDescent="0.2">
      <c r="A160" s="97"/>
      <c r="B160" s="53"/>
      <c r="C160" s="53"/>
      <c r="D160" s="98" t="s">
        <v>49</v>
      </c>
      <c r="E160" s="97">
        <v>17171</v>
      </c>
      <c r="F160" s="97">
        <v>17171</v>
      </c>
      <c r="G160" s="97">
        <v>17171</v>
      </c>
      <c r="H160" s="97">
        <v>17171</v>
      </c>
      <c r="I160" s="97">
        <v>17171</v>
      </c>
      <c r="J160" s="1"/>
    </row>
    <row r="161" spans="1:10" s="26" customFormat="1" x14ac:dyDescent="0.2">
      <c r="A161" s="99"/>
      <c r="B161" s="58"/>
      <c r="C161" s="58"/>
      <c r="D161" s="100" t="s">
        <v>50</v>
      </c>
      <c r="E161" s="99">
        <f>(+E119+E120)</f>
        <v>0</v>
      </c>
      <c r="F161" s="99">
        <f>(+F119+F120)</f>
        <v>877</v>
      </c>
      <c r="G161" s="99">
        <f>(+G119+G120)</f>
        <v>877</v>
      </c>
      <c r="H161" s="99">
        <f>(+H119+H120)</f>
        <v>1049</v>
      </c>
      <c r="I161" s="99">
        <f>(+I119+I120)</f>
        <v>0</v>
      </c>
      <c r="J161" s="1"/>
    </row>
    <row r="162" spans="1:10" s="26" customFormat="1" x14ac:dyDescent="0.2">
      <c r="A162" s="99"/>
      <c r="B162" s="58"/>
      <c r="C162" s="58"/>
      <c r="D162" s="100" t="s">
        <v>51</v>
      </c>
      <c r="E162" s="99">
        <f>(+E121+E122)</f>
        <v>135</v>
      </c>
      <c r="F162" s="99">
        <f>(+F121+F122)</f>
        <v>171</v>
      </c>
      <c r="G162" s="99">
        <f>(+G121+G122)</f>
        <v>169</v>
      </c>
      <c r="H162" s="99">
        <f>(+H121+H122)</f>
        <v>218</v>
      </c>
      <c r="I162" s="99">
        <f>(+I121+I122)</f>
        <v>0</v>
      </c>
      <c r="J162" s="1"/>
    </row>
    <row r="163" spans="1:10" s="26" customFormat="1" x14ac:dyDescent="0.2">
      <c r="A163" s="101"/>
      <c r="B163" s="61"/>
      <c r="C163" s="61"/>
      <c r="D163" s="102" t="s">
        <v>36</v>
      </c>
      <c r="E163" s="101">
        <f>ROUND((E161*E159)+(E162*E160),2)</f>
        <v>2318085</v>
      </c>
      <c r="F163" s="101">
        <f>ROUND((F161*F159)+(F162*F160),2)</f>
        <v>10011000</v>
      </c>
      <c r="G163" s="101">
        <f>ROUND((G161*G159)+(G162*G160),2)</f>
        <v>9976658</v>
      </c>
      <c r="H163" s="101">
        <f>ROUND((H161*H159)+(H162*H160),2)</f>
        <v>12205561</v>
      </c>
      <c r="I163" s="101">
        <f>ROUND((I161*I159)+(I162*I160),2)</f>
        <v>0</v>
      </c>
      <c r="J163" s="1"/>
    </row>
    <row r="164" spans="1:10" s="26" customFormat="1" x14ac:dyDescent="0.2">
      <c r="A164" s="101"/>
      <c r="B164" s="115">
        <v>3</v>
      </c>
      <c r="C164" s="115"/>
      <c r="D164" s="46" t="s">
        <v>37</v>
      </c>
      <c r="E164" s="101">
        <f>+E124</f>
        <v>21329</v>
      </c>
      <c r="F164" s="101">
        <f>+F124</f>
        <v>211363</v>
      </c>
      <c r="G164" s="101">
        <f>+G124</f>
        <v>1878447</v>
      </c>
      <c r="H164" s="101">
        <f>+H124</f>
        <v>467760</v>
      </c>
      <c r="I164" s="101">
        <f>+I124</f>
        <v>910470</v>
      </c>
      <c r="J164" s="1"/>
    </row>
    <row r="165" spans="1:10" s="26" customFormat="1" x14ac:dyDescent="0.2">
      <c r="A165" s="101"/>
      <c r="B165" s="115">
        <v>4</v>
      </c>
      <c r="C165" s="115"/>
      <c r="D165" s="62" t="s">
        <v>38</v>
      </c>
      <c r="E165" s="101"/>
      <c r="F165" s="101"/>
      <c r="G165" s="101"/>
      <c r="H165" s="101"/>
      <c r="I165" s="101"/>
      <c r="J165" s="1"/>
    </row>
    <row r="166" spans="1:10" s="26" customFormat="1" x14ac:dyDescent="0.2">
      <c r="A166" s="101"/>
      <c r="B166" s="53"/>
      <c r="C166" s="53"/>
      <c r="D166" s="103" t="s">
        <v>52</v>
      </c>
      <c r="E166" s="101">
        <f>8047377+12200000</f>
        <v>20247377</v>
      </c>
      <c r="F166" s="101">
        <f>8000000+12200000</f>
        <v>20200000</v>
      </c>
      <c r="G166" s="101"/>
      <c r="H166" s="101"/>
      <c r="I166" s="101"/>
      <c r="J166" s="1"/>
    </row>
    <row r="167" spans="1:10" s="26" customFormat="1" x14ac:dyDescent="0.2">
      <c r="A167" s="101"/>
      <c r="B167" s="53"/>
      <c r="C167" s="53"/>
      <c r="D167" s="103" t="s">
        <v>53</v>
      </c>
      <c r="E167" s="101"/>
      <c r="F167" s="101">
        <v>431750</v>
      </c>
      <c r="G167" s="101">
        <v>486000</v>
      </c>
      <c r="H167" s="101">
        <v>753300</v>
      </c>
      <c r="I167" s="101"/>
      <c r="J167" s="1"/>
    </row>
    <row r="168" spans="1:10" s="26" customFormat="1" x14ac:dyDescent="0.2">
      <c r="A168" s="101"/>
      <c r="B168" s="53"/>
      <c r="C168" s="53"/>
      <c r="D168" s="103" t="s">
        <v>54</v>
      </c>
      <c r="E168" s="101"/>
      <c r="F168" s="101">
        <v>1000000</v>
      </c>
      <c r="G168" s="101">
        <f>1500000-1000000</f>
        <v>500000</v>
      </c>
      <c r="H168" s="101">
        <v>600000</v>
      </c>
      <c r="I168" s="101"/>
      <c r="J168" s="1"/>
    </row>
    <row r="169" spans="1:10" s="26" customFormat="1" x14ac:dyDescent="0.2">
      <c r="A169" s="101"/>
      <c r="B169" s="53"/>
      <c r="C169" s="53"/>
      <c r="D169" s="103" t="s">
        <v>55</v>
      </c>
      <c r="E169" s="101"/>
      <c r="F169" s="101">
        <v>2250000</v>
      </c>
      <c r="G169" s="101"/>
      <c r="H169" s="101"/>
      <c r="I169" s="101"/>
      <c r="J169" s="1"/>
    </row>
    <row r="170" spans="1:10" s="26" customFormat="1" x14ac:dyDescent="0.2">
      <c r="A170" s="101"/>
      <c r="B170" s="53"/>
      <c r="C170" s="53"/>
      <c r="D170" s="103" t="s">
        <v>56</v>
      </c>
      <c r="E170" s="101"/>
      <c r="F170" s="101"/>
      <c r="G170" s="101"/>
      <c r="H170" s="101"/>
      <c r="I170" s="101">
        <v>1000000</v>
      </c>
      <c r="J170" s="1"/>
    </row>
    <row r="171" spans="1:10" s="26" customFormat="1" x14ac:dyDescent="0.2">
      <c r="A171" s="101"/>
      <c r="B171" s="53"/>
      <c r="C171" s="53"/>
      <c r="D171" s="103" t="s">
        <v>57</v>
      </c>
      <c r="E171" s="101"/>
      <c r="F171" s="101"/>
      <c r="G171" s="101"/>
      <c r="H171" s="101"/>
      <c r="I171" s="101">
        <v>1593600</v>
      </c>
      <c r="J171" s="1"/>
    </row>
    <row r="172" spans="1:10" s="26" customFormat="1" x14ac:dyDescent="0.2">
      <c r="A172" s="101"/>
      <c r="B172" s="115">
        <v>5</v>
      </c>
      <c r="C172" s="115"/>
      <c r="D172" s="63" t="s">
        <v>39</v>
      </c>
      <c r="E172" s="101">
        <f>+E126</f>
        <v>2713853</v>
      </c>
      <c r="F172" s="101">
        <f>+F126</f>
        <v>3045689</v>
      </c>
      <c r="G172" s="101">
        <f>+G126</f>
        <v>5133380</v>
      </c>
      <c r="H172" s="101">
        <f>+H126</f>
        <v>5148631</v>
      </c>
      <c r="I172" s="101">
        <f>+I126</f>
        <v>11426328</v>
      </c>
      <c r="J172" s="1"/>
    </row>
    <row r="173" spans="1:10" s="26" customFormat="1" x14ac:dyDescent="0.2">
      <c r="A173" s="101"/>
      <c r="B173" s="115">
        <v>6</v>
      </c>
      <c r="C173" s="115"/>
      <c r="D173" s="63" t="s">
        <v>40</v>
      </c>
      <c r="E173" s="101">
        <f>-311221-662006-429391-40632-123057</f>
        <v>-1566307</v>
      </c>
      <c r="F173" s="101"/>
      <c r="G173" s="101">
        <f>-1971311-1161677-1288848-5133380-500000-75000-135889-1718873-15202-176031-1000000-500000</f>
        <v>-13676211</v>
      </c>
      <c r="H173" s="101"/>
      <c r="I173" s="101">
        <v>-5449097</v>
      </c>
      <c r="J173" s="1"/>
    </row>
    <row r="174" spans="1:10" s="26" customFormat="1" x14ac:dyDescent="0.2">
      <c r="A174" s="101"/>
      <c r="B174" s="115">
        <v>7</v>
      </c>
      <c r="C174" s="115"/>
      <c r="D174" s="63" t="s">
        <v>41</v>
      </c>
      <c r="E174" s="101">
        <f>+E128</f>
        <v>0</v>
      </c>
      <c r="F174" s="101">
        <f>+F128</f>
        <v>0</v>
      </c>
      <c r="G174" s="101">
        <f>+G128</f>
        <v>0</v>
      </c>
      <c r="H174" s="101">
        <f>+H128</f>
        <v>0</v>
      </c>
      <c r="I174" s="101">
        <f>+I128</f>
        <v>6205814</v>
      </c>
      <c r="J174" s="1"/>
    </row>
    <row r="175" spans="1:10" s="26" customFormat="1" x14ac:dyDescent="0.2">
      <c r="A175" s="101"/>
      <c r="B175" s="115">
        <v>8</v>
      </c>
      <c r="C175" s="115"/>
      <c r="D175" s="63" t="s">
        <v>58</v>
      </c>
      <c r="E175" s="101"/>
      <c r="F175" s="101"/>
      <c r="G175" s="101"/>
      <c r="H175" s="101"/>
      <c r="I175" s="101"/>
      <c r="J175" s="1"/>
    </row>
    <row r="176" spans="1:10" s="26" customFormat="1" x14ac:dyDescent="0.2">
      <c r="A176" s="104"/>
      <c r="B176" s="64"/>
      <c r="C176" s="64"/>
      <c r="D176" s="105" t="s">
        <v>59</v>
      </c>
      <c r="E176" s="104">
        <v>3.4000000000000002E-2</v>
      </c>
      <c r="F176" s="104">
        <v>2.4E-2</v>
      </c>
      <c r="G176" s="104">
        <v>4.1000000000000002E-2</v>
      </c>
      <c r="H176" s="104">
        <v>4.8000000000000001E-2</v>
      </c>
      <c r="I176" s="104">
        <v>4.8000000000000001E-2</v>
      </c>
      <c r="J176" s="1"/>
    </row>
    <row r="177" spans="1:10" s="26" customFormat="1" x14ac:dyDescent="0.2">
      <c r="A177" s="101"/>
      <c r="B177" s="101"/>
      <c r="C177" s="101"/>
      <c r="D177" s="101" t="s">
        <v>60</v>
      </c>
      <c r="E177" s="101">
        <f>ROUND((E141*E176),0)</f>
        <v>6821114</v>
      </c>
      <c r="F177" s="101">
        <f>ROUND((F141*F176),0)</f>
        <v>5139324</v>
      </c>
      <c r="G177" s="101">
        <f>ROUND((G141*G176),0)</f>
        <v>9817309</v>
      </c>
      <c r="H177" s="101">
        <f>ROUND((H141*H176),0)</f>
        <v>11735655</v>
      </c>
      <c r="I177" s="101">
        <f>ROUND((I141*I176),0)</f>
        <v>12275858</v>
      </c>
      <c r="J177" s="1"/>
    </row>
    <row r="178" spans="1:10" s="26" customFormat="1" ht="26.25" x14ac:dyDescent="0.25">
      <c r="A178" s="101"/>
      <c r="B178" s="67" t="s">
        <v>61</v>
      </c>
      <c r="C178" s="67"/>
      <c r="D178" s="46" t="s">
        <v>62</v>
      </c>
      <c r="E178" s="106" t="s">
        <v>63</v>
      </c>
      <c r="F178" s="106" t="s">
        <v>63</v>
      </c>
      <c r="G178" s="106" t="s">
        <v>63</v>
      </c>
      <c r="H178" s="107" t="s">
        <v>64</v>
      </c>
      <c r="I178" s="101"/>
      <c r="J178" s="1"/>
    </row>
    <row r="179" spans="1:10" s="26" customFormat="1" ht="15.75" x14ac:dyDescent="0.25">
      <c r="A179" s="101"/>
      <c r="B179" s="67"/>
      <c r="C179" s="67"/>
      <c r="D179" s="102" t="s">
        <v>65</v>
      </c>
      <c r="E179" s="101"/>
      <c r="F179" s="108"/>
      <c r="G179" s="108"/>
      <c r="H179" s="101">
        <f>ROUND((-275.16*(H159*1.025))+(-405.34*(H160*1.025)),0)</f>
        <v>-9409304</v>
      </c>
      <c r="I179" s="101"/>
      <c r="J179" s="1"/>
    </row>
    <row r="180" spans="1:10" s="26" customFormat="1" ht="13.5" thickBot="1" x14ac:dyDescent="0.25">
      <c r="B180" s="71"/>
      <c r="C180" s="71"/>
      <c r="D180" s="29" t="s">
        <v>66</v>
      </c>
      <c r="E180" s="39">
        <f>+E179+E177+E174+E173+E172+E169+E170+E171+E168+E167+E166+E164+E163+E156+E155+E153+E152+E139</f>
        <v>305899245</v>
      </c>
      <c r="F180" s="39">
        <f>+F179+F177+F174+F173+F172+F169+F170+F171+F168+F167+F166+F164+F163+F156+F155+F153+F152+F139</f>
        <v>340062866</v>
      </c>
      <c r="G180" s="39">
        <f>+G179+G177+G174+G173+G172+G169+G170+G171+G168+G167+G166+G164+G163+G156+G155+G153+G152+G139</f>
        <v>345770170</v>
      </c>
      <c r="H180" s="39">
        <f>+H179+H177+H174+H173+H172+H169+H170+H171+H168+H167+H166+H164+H163+H156+H155+H153+H152+H139</f>
        <v>367740782</v>
      </c>
      <c r="I180" s="39">
        <f>+I179+I177+I174+I173+I172+I169+I170+I171+I168+I167+I166+I164+I163+I156+I155+I153+I152+I139</f>
        <v>402652517</v>
      </c>
      <c r="J180" s="1"/>
    </row>
    <row r="181" spans="1:10" s="26" customFormat="1" ht="17.25" thickTop="1" thickBot="1" x14ac:dyDescent="0.3">
      <c r="A181" s="72" t="s">
        <v>67</v>
      </c>
      <c r="B181" s="12" t="s">
        <v>68</v>
      </c>
      <c r="C181" s="3"/>
      <c r="D181" s="73"/>
      <c r="E181" s="74">
        <f>+E129-E180</f>
        <v>9117598</v>
      </c>
      <c r="F181" s="74">
        <f>+F129-F180</f>
        <v>2307798</v>
      </c>
      <c r="G181" s="74">
        <f>+G129-G180</f>
        <v>1680017</v>
      </c>
      <c r="H181" s="74">
        <f>+H129-H180</f>
        <v>-21240770</v>
      </c>
      <c r="I181" s="74">
        <f>+I129-I180</f>
        <v>-31093460</v>
      </c>
      <c r="J181" s="1"/>
    </row>
    <row r="182" spans="1:10" s="26" customFormat="1" ht="27" customHeight="1" thickTop="1" x14ac:dyDescent="0.2">
      <c r="A182" s="114" t="s">
        <v>78</v>
      </c>
      <c r="B182" s="114"/>
      <c r="C182" s="114"/>
      <c r="D182" s="114"/>
      <c r="E182" s="114"/>
      <c r="F182" s="114"/>
      <c r="G182" s="114"/>
      <c r="H182" s="114"/>
      <c r="I182" s="114"/>
      <c r="J182" s="1"/>
    </row>
    <row r="183" spans="1:10" s="26" customFormat="1" x14ac:dyDescent="0.2">
      <c r="B183" s="3"/>
      <c r="C183" s="3"/>
      <c r="D183" s="27"/>
      <c r="J183" s="1"/>
    </row>
    <row r="184" spans="1:10" s="26" customFormat="1" x14ac:dyDescent="0.2">
      <c r="B184" s="3"/>
      <c r="C184" s="3"/>
      <c r="D184" s="27"/>
      <c r="J184" s="1"/>
    </row>
    <row r="185" spans="1:10" s="26" customFormat="1" x14ac:dyDescent="0.2">
      <c r="B185" s="3"/>
      <c r="C185" s="3"/>
      <c r="D185" s="27"/>
      <c r="G185" s="28"/>
      <c r="H185" s="28"/>
      <c r="I185" s="28"/>
      <c r="J185" s="1"/>
    </row>
    <row r="186" spans="1:10" s="26" customFormat="1" x14ac:dyDescent="0.2">
      <c r="B186" s="3"/>
      <c r="C186" s="3"/>
      <c r="D186" s="27"/>
      <c r="G186" s="28"/>
      <c r="H186" s="28"/>
      <c r="I186" s="28"/>
      <c r="J186" s="1"/>
    </row>
    <row r="187" spans="1:10" s="26" customFormat="1" x14ac:dyDescent="0.2">
      <c r="B187" s="3"/>
      <c r="C187" s="3"/>
      <c r="D187" s="27"/>
      <c r="G187" s="28"/>
      <c r="H187" s="28"/>
      <c r="I187" s="28"/>
      <c r="J187" s="1"/>
    </row>
    <row r="188" spans="1:10" s="26" customFormat="1" x14ac:dyDescent="0.2">
      <c r="B188" s="3"/>
      <c r="C188" s="3"/>
      <c r="D188" s="27"/>
      <c r="G188" s="28"/>
      <c r="H188" s="28"/>
      <c r="I188" s="28"/>
      <c r="J188" s="1"/>
    </row>
    <row r="189" spans="1:10" s="26" customFormat="1" x14ac:dyDescent="0.2">
      <c r="B189" s="3"/>
      <c r="C189" s="3"/>
      <c r="D189" s="27"/>
      <c r="G189" s="28"/>
      <c r="H189" s="28"/>
      <c r="I189" s="28"/>
      <c r="J189" s="1"/>
    </row>
    <row r="190" spans="1:10" s="26" customFormat="1" x14ac:dyDescent="0.2">
      <c r="B190" s="3"/>
      <c r="C190" s="3"/>
      <c r="D190" s="27"/>
      <c r="G190" s="28"/>
      <c r="H190" s="28"/>
      <c r="I190" s="28"/>
      <c r="J190" s="1"/>
    </row>
    <row r="191" spans="1:10" s="26" customFormat="1" x14ac:dyDescent="0.2">
      <c r="B191" s="3"/>
      <c r="C191" s="3"/>
      <c r="D191" s="27"/>
      <c r="G191" s="28"/>
      <c r="H191" s="28"/>
      <c r="I191" s="28"/>
      <c r="J191" s="1"/>
    </row>
    <row r="192" spans="1:10" s="26" customFormat="1" x14ac:dyDescent="0.2">
      <c r="B192" s="3"/>
      <c r="C192" s="3"/>
      <c r="D192" s="27"/>
      <c r="G192" s="28"/>
      <c r="H192" s="28"/>
      <c r="I192" s="28"/>
      <c r="J192" s="1"/>
    </row>
    <row r="193" spans="2:10" s="26" customFormat="1" x14ac:dyDescent="0.2">
      <c r="B193" s="3"/>
      <c r="C193" s="3"/>
      <c r="D193" s="27"/>
      <c r="G193" s="28"/>
      <c r="H193" s="28"/>
      <c r="I193" s="28"/>
      <c r="J193" s="1"/>
    </row>
    <row r="194" spans="2:10" s="26" customFormat="1" x14ac:dyDescent="0.2">
      <c r="B194" s="3"/>
      <c r="C194" s="3"/>
      <c r="D194" s="27"/>
      <c r="G194" s="28"/>
      <c r="H194" s="28"/>
      <c r="I194" s="28"/>
      <c r="J194" s="1"/>
    </row>
    <row r="195" spans="2:10" s="26" customFormat="1" x14ac:dyDescent="0.2">
      <c r="B195" s="3"/>
      <c r="C195" s="3"/>
      <c r="D195" s="27"/>
      <c r="G195" s="28"/>
      <c r="H195" s="28"/>
      <c r="I195" s="28"/>
      <c r="J195" s="1"/>
    </row>
    <row r="196" spans="2:10" s="26" customFormat="1" x14ac:dyDescent="0.2">
      <c r="B196" s="3"/>
      <c r="C196" s="3"/>
      <c r="D196" s="27"/>
      <c r="G196" s="28"/>
      <c r="H196" s="28"/>
      <c r="I196" s="28"/>
      <c r="J196" s="1"/>
    </row>
    <row r="197" spans="2:10" s="26" customFormat="1" x14ac:dyDescent="0.2">
      <c r="B197" s="3"/>
      <c r="C197" s="3"/>
      <c r="D197" s="27"/>
      <c r="G197" s="28"/>
      <c r="H197" s="28"/>
      <c r="I197" s="28"/>
      <c r="J197" s="1"/>
    </row>
    <row r="198" spans="2:10" s="26" customFormat="1" x14ac:dyDescent="0.2">
      <c r="B198" s="3"/>
      <c r="C198" s="3"/>
      <c r="D198" s="27"/>
      <c r="G198" s="28"/>
      <c r="H198" s="28"/>
      <c r="I198" s="28"/>
      <c r="J198" s="1"/>
    </row>
    <row r="199" spans="2:10" s="26" customFormat="1" x14ac:dyDescent="0.2">
      <c r="B199" s="3"/>
      <c r="C199" s="3"/>
      <c r="D199" s="27"/>
      <c r="G199" s="28"/>
      <c r="H199" s="28"/>
      <c r="I199" s="28"/>
      <c r="J199" s="1"/>
    </row>
    <row r="200" spans="2:10" s="26" customFormat="1" x14ac:dyDescent="0.2">
      <c r="B200" s="3"/>
      <c r="C200" s="3"/>
      <c r="D200" s="27"/>
      <c r="G200" s="28"/>
      <c r="H200" s="28"/>
      <c r="I200" s="28"/>
      <c r="J200" s="1"/>
    </row>
    <row r="201" spans="2:10" s="26" customFormat="1" x14ac:dyDescent="0.2">
      <c r="B201" s="3"/>
      <c r="C201" s="3"/>
      <c r="D201" s="27"/>
      <c r="G201" s="28"/>
      <c r="H201" s="28"/>
      <c r="I201" s="28"/>
      <c r="J201" s="1"/>
    </row>
    <row r="202" spans="2:10" s="26" customFormat="1" x14ac:dyDescent="0.2">
      <c r="B202" s="3"/>
      <c r="C202" s="3"/>
      <c r="D202" s="27"/>
      <c r="G202" s="28"/>
      <c r="H202" s="28"/>
      <c r="I202" s="28"/>
      <c r="J202" s="1"/>
    </row>
    <row r="203" spans="2:10" s="26" customFormat="1" x14ac:dyDescent="0.2">
      <c r="B203" s="3"/>
      <c r="C203" s="3"/>
      <c r="D203" s="27"/>
      <c r="G203" s="28"/>
      <c r="H203" s="28"/>
      <c r="I203" s="28"/>
      <c r="J203" s="1"/>
    </row>
    <row r="204" spans="2:10" s="26" customFormat="1" x14ac:dyDescent="0.2">
      <c r="B204" s="3"/>
      <c r="C204" s="3"/>
      <c r="D204" s="27"/>
      <c r="G204" s="28"/>
      <c r="H204" s="28"/>
      <c r="I204" s="28"/>
      <c r="J204" s="1"/>
    </row>
    <row r="205" spans="2:10" s="26" customFormat="1" x14ac:dyDescent="0.2">
      <c r="B205" s="3"/>
      <c r="C205" s="3"/>
      <c r="D205" s="27"/>
      <c r="G205" s="28"/>
      <c r="H205" s="28"/>
      <c r="I205" s="28"/>
      <c r="J205" s="1"/>
    </row>
    <row r="206" spans="2:10" s="26" customFormat="1" x14ac:dyDescent="0.2">
      <c r="B206" s="3"/>
      <c r="C206" s="3"/>
      <c r="D206" s="27"/>
      <c r="G206" s="28"/>
      <c r="H206" s="28"/>
      <c r="I206" s="28"/>
      <c r="J206" s="1"/>
    </row>
    <row r="207" spans="2:10" s="26" customFormat="1" x14ac:dyDescent="0.2">
      <c r="B207" s="3"/>
      <c r="C207" s="3"/>
      <c r="D207" s="27"/>
      <c r="G207" s="28"/>
      <c r="H207" s="28"/>
      <c r="I207" s="28"/>
      <c r="J207" s="1"/>
    </row>
    <row r="208" spans="2:10" s="26" customFormat="1" x14ac:dyDescent="0.2">
      <c r="B208" s="3"/>
      <c r="C208" s="3"/>
      <c r="D208" s="27"/>
      <c r="G208" s="28"/>
      <c r="H208" s="28"/>
      <c r="I208" s="28"/>
      <c r="J208" s="1"/>
    </row>
    <row r="209" spans="2:10" s="26" customFormat="1" x14ac:dyDescent="0.2">
      <c r="B209" s="3"/>
      <c r="C209" s="3"/>
      <c r="D209" s="27"/>
      <c r="G209" s="28"/>
      <c r="H209" s="28"/>
      <c r="I209" s="28"/>
      <c r="J209" s="1"/>
    </row>
    <row r="210" spans="2:10" s="26" customFormat="1" x14ac:dyDescent="0.2">
      <c r="B210" s="3"/>
      <c r="C210" s="3"/>
      <c r="D210" s="27"/>
      <c r="G210" s="28"/>
      <c r="H210" s="28"/>
      <c r="I210" s="28"/>
      <c r="J210" s="1"/>
    </row>
    <row r="211" spans="2:10" s="26" customFormat="1" x14ac:dyDescent="0.2">
      <c r="B211" s="3"/>
      <c r="C211" s="3"/>
      <c r="D211" s="27"/>
      <c r="G211" s="28"/>
      <c r="H211" s="28"/>
      <c r="I211" s="28"/>
      <c r="J211" s="1"/>
    </row>
    <row r="212" spans="2:10" s="26" customFormat="1" x14ac:dyDescent="0.2">
      <c r="B212" s="3"/>
      <c r="C212" s="3"/>
      <c r="D212" s="27"/>
      <c r="G212" s="28"/>
      <c r="H212" s="28"/>
      <c r="I212" s="28"/>
      <c r="J212" s="1"/>
    </row>
    <row r="213" spans="2:10" s="26" customFormat="1" x14ac:dyDescent="0.2">
      <c r="B213" s="3"/>
      <c r="C213" s="3"/>
      <c r="D213" s="27"/>
      <c r="G213" s="28"/>
      <c r="H213" s="28"/>
      <c r="I213" s="28"/>
      <c r="J213" s="1"/>
    </row>
    <row r="214" spans="2:10" s="26" customFormat="1" x14ac:dyDescent="0.2">
      <c r="B214" s="3"/>
      <c r="C214" s="3"/>
      <c r="D214" s="27"/>
      <c r="G214" s="28"/>
      <c r="H214" s="28"/>
      <c r="I214" s="28"/>
      <c r="J214" s="1"/>
    </row>
    <row r="215" spans="2:10" s="26" customFormat="1" x14ac:dyDescent="0.2">
      <c r="B215" s="3"/>
      <c r="C215" s="3"/>
      <c r="D215" s="27"/>
      <c r="G215" s="28"/>
      <c r="H215" s="28"/>
      <c r="I215" s="28"/>
      <c r="J215" s="1"/>
    </row>
    <row r="216" spans="2:10" s="26" customFormat="1" x14ac:dyDescent="0.2">
      <c r="B216" s="3"/>
      <c r="C216" s="3"/>
      <c r="D216" s="27"/>
      <c r="G216" s="28"/>
      <c r="H216" s="28"/>
      <c r="I216" s="28"/>
      <c r="J216" s="1"/>
    </row>
    <row r="217" spans="2:10" s="26" customFormat="1" x14ac:dyDescent="0.2">
      <c r="B217" s="3"/>
      <c r="C217" s="3"/>
      <c r="D217" s="27"/>
      <c r="G217" s="28"/>
      <c r="H217" s="28"/>
      <c r="I217" s="28"/>
      <c r="J217" s="1"/>
    </row>
    <row r="218" spans="2:10" s="26" customFormat="1" x14ac:dyDescent="0.2">
      <c r="B218" s="3"/>
      <c r="C218" s="3"/>
      <c r="D218" s="27"/>
      <c r="G218" s="28"/>
      <c r="H218" s="28"/>
      <c r="I218" s="28"/>
      <c r="J218" s="1"/>
    </row>
    <row r="219" spans="2:10" s="26" customFormat="1" x14ac:dyDescent="0.2">
      <c r="B219" s="3"/>
      <c r="C219" s="3"/>
      <c r="D219" s="27"/>
      <c r="G219" s="28"/>
      <c r="H219" s="28"/>
      <c r="I219" s="28"/>
      <c r="J219" s="1"/>
    </row>
    <row r="220" spans="2:10" s="26" customFormat="1" x14ac:dyDescent="0.2">
      <c r="B220" s="3"/>
      <c r="C220" s="3"/>
      <c r="D220" s="27"/>
      <c r="G220" s="28"/>
      <c r="H220" s="28"/>
      <c r="I220" s="28"/>
      <c r="J220" s="1"/>
    </row>
    <row r="221" spans="2:10" s="26" customFormat="1" x14ac:dyDescent="0.2">
      <c r="B221" s="3"/>
      <c r="C221" s="3"/>
      <c r="D221" s="27"/>
      <c r="G221" s="28"/>
      <c r="H221" s="28"/>
      <c r="I221" s="28"/>
      <c r="J221" s="1"/>
    </row>
    <row r="222" spans="2:10" s="26" customFormat="1" x14ac:dyDescent="0.2">
      <c r="B222" s="3"/>
      <c r="C222" s="3"/>
      <c r="D222" s="27"/>
      <c r="G222" s="28"/>
      <c r="H222" s="28"/>
      <c r="I222" s="28"/>
      <c r="J222" s="1"/>
    </row>
    <row r="223" spans="2:10" s="26" customFormat="1" x14ac:dyDescent="0.2">
      <c r="B223" s="3"/>
      <c r="C223" s="3"/>
      <c r="D223" s="27"/>
      <c r="G223" s="28"/>
      <c r="H223" s="28"/>
      <c r="I223" s="28"/>
      <c r="J223" s="1"/>
    </row>
    <row r="224" spans="2:10" s="26" customFormat="1" x14ac:dyDescent="0.2">
      <c r="B224" s="3"/>
      <c r="C224" s="3"/>
      <c r="D224" s="27"/>
      <c r="G224" s="28"/>
      <c r="H224" s="28"/>
      <c r="I224" s="28"/>
      <c r="J224" s="1"/>
    </row>
    <row r="225" spans="2:10" s="26" customFormat="1" x14ac:dyDescent="0.2">
      <c r="B225" s="3"/>
      <c r="C225" s="3"/>
      <c r="D225" s="27"/>
      <c r="G225" s="28"/>
      <c r="H225" s="28"/>
      <c r="I225" s="28"/>
      <c r="J225" s="1"/>
    </row>
    <row r="226" spans="2:10" s="26" customFormat="1" x14ac:dyDescent="0.2">
      <c r="B226" s="3"/>
      <c r="C226" s="3"/>
      <c r="D226" s="27"/>
      <c r="G226" s="28"/>
      <c r="H226" s="28"/>
      <c r="I226" s="28"/>
      <c r="J226" s="1"/>
    </row>
    <row r="227" spans="2:10" s="26" customFormat="1" x14ac:dyDescent="0.2">
      <c r="B227" s="3"/>
      <c r="C227" s="3"/>
      <c r="D227" s="27"/>
      <c r="G227" s="28"/>
      <c r="H227" s="28"/>
      <c r="I227" s="28"/>
      <c r="J227" s="1"/>
    </row>
    <row r="228" spans="2:10" s="26" customFormat="1" x14ac:dyDescent="0.2">
      <c r="B228" s="3"/>
      <c r="C228" s="3"/>
      <c r="D228" s="27"/>
      <c r="G228" s="28"/>
      <c r="H228" s="28"/>
      <c r="I228" s="28"/>
      <c r="J228" s="1"/>
    </row>
    <row r="229" spans="2:10" s="26" customFormat="1" x14ac:dyDescent="0.2">
      <c r="B229" s="3"/>
      <c r="C229" s="3"/>
      <c r="D229" s="27"/>
      <c r="G229" s="28"/>
      <c r="H229" s="28"/>
      <c r="I229" s="28"/>
      <c r="J229" s="1"/>
    </row>
    <row r="230" spans="2:10" s="26" customFormat="1" x14ac:dyDescent="0.2">
      <c r="B230" s="3"/>
      <c r="C230" s="3"/>
      <c r="D230" s="27"/>
      <c r="G230" s="28"/>
      <c r="H230" s="28"/>
      <c r="I230" s="28"/>
      <c r="J230" s="1"/>
    </row>
    <row r="231" spans="2:10" s="26" customFormat="1" x14ac:dyDescent="0.2">
      <c r="B231" s="3"/>
      <c r="C231" s="3"/>
      <c r="D231" s="27"/>
      <c r="G231" s="28"/>
      <c r="H231" s="28"/>
      <c r="I231" s="28"/>
      <c r="J231" s="1"/>
    </row>
    <row r="232" spans="2:10" s="26" customFormat="1" x14ac:dyDescent="0.2">
      <c r="B232" s="3"/>
      <c r="C232" s="3"/>
      <c r="D232" s="27"/>
      <c r="G232" s="28"/>
      <c r="H232" s="28"/>
      <c r="I232" s="28"/>
      <c r="J232" s="1"/>
    </row>
    <row r="233" spans="2:10" s="26" customFormat="1" x14ac:dyDescent="0.2">
      <c r="B233" s="3"/>
      <c r="C233" s="3"/>
      <c r="D233" s="27"/>
      <c r="G233" s="28"/>
      <c r="H233" s="28"/>
      <c r="I233" s="28"/>
      <c r="J233" s="1"/>
    </row>
    <row r="234" spans="2:10" s="26" customFormat="1" x14ac:dyDescent="0.2">
      <c r="B234" s="3"/>
      <c r="C234" s="3"/>
      <c r="D234" s="27"/>
      <c r="G234" s="28"/>
      <c r="H234" s="28"/>
      <c r="I234" s="28"/>
      <c r="J234" s="1"/>
    </row>
    <row r="235" spans="2:10" s="26" customFormat="1" x14ac:dyDescent="0.2">
      <c r="B235" s="3"/>
      <c r="C235" s="3"/>
      <c r="D235" s="27"/>
      <c r="G235" s="28"/>
      <c r="H235" s="28"/>
      <c r="I235" s="28"/>
      <c r="J235" s="1"/>
    </row>
    <row r="236" spans="2:10" s="26" customFormat="1" x14ac:dyDescent="0.2">
      <c r="B236" s="3"/>
      <c r="C236" s="3"/>
      <c r="D236" s="27"/>
      <c r="G236" s="28"/>
      <c r="H236" s="28"/>
      <c r="I236" s="28"/>
      <c r="J236" s="1"/>
    </row>
    <row r="237" spans="2:10" s="26" customFormat="1" x14ac:dyDescent="0.2">
      <c r="B237" s="3"/>
      <c r="C237" s="3"/>
      <c r="D237" s="27"/>
      <c r="G237" s="28"/>
      <c r="H237" s="28"/>
      <c r="I237" s="28"/>
      <c r="J237" s="1"/>
    </row>
    <row r="238" spans="2:10" s="26" customFormat="1" x14ac:dyDescent="0.2">
      <c r="B238" s="3"/>
      <c r="C238" s="3"/>
      <c r="D238" s="27"/>
      <c r="G238" s="28"/>
      <c r="H238" s="28"/>
      <c r="I238" s="28"/>
      <c r="J238" s="1"/>
    </row>
    <row r="239" spans="2:10" s="26" customFormat="1" x14ac:dyDescent="0.2">
      <c r="B239" s="3"/>
      <c r="C239" s="3"/>
      <c r="D239" s="27"/>
      <c r="G239" s="28"/>
      <c r="H239" s="28"/>
      <c r="I239" s="28"/>
      <c r="J239" s="1"/>
    </row>
    <row r="240" spans="2:10" s="26" customFormat="1" x14ac:dyDescent="0.2">
      <c r="B240" s="3"/>
      <c r="C240" s="3"/>
      <c r="D240" s="27"/>
      <c r="G240" s="28"/>
      <c r="H240" s="28"/>
      <c r="I240" s="28"/>
      <c r="J240" s="1"/>
    </row>
    <row r="241" spans="2:10" s="26" customFormat="1" x14ac:dyDescent="0.2">
      <c r="B241" s="3"/>
      <c r="C241" s="3"/>
      <c r="D241" s="27"/>
      <c r="G241" s="28"/>
      <c r="H241" s="28"/>
      <c r="I241" s="28"/>
      <c r="J241" s="1"/>
    </row>
    <row r="242" spans="2:10" s="26" customFormat="1" x14ac:dyDescent="0.2">
      <c r="B242" s="3"/>
      <c r="C242" s="3"/>
      <c r="D242" s="27"/>
      <c r="G242" s="28"/>
      <c r="H242" s="28"/>
      <c r="I242" s="28"/>
      <c r="J242" s="1"/>
    </row>
    <row r="243" spans="2:10" s="26" customFormat="1" x14ac:dyDescent="0.2">
      <c r="B243" s="3"/>
      <c r="C243" s="3"/>
      <c r="D243" s="27"/>
      <c r="G243" s="28"/>
      <c r="H243" s="28"/>
      <c r="I243" s="28"/>
      <c r="J243" s="1"/>
    </row>
    <row r="244" spans="2:10" s="26" customFormat="1" x14ac:dyDescent="0.2">
      <c r="B244" s="3"/>
      <c r="C244" s="3"/>
      <c r="D244" s="27"/>
      <c r="G244" s="28"/>
      <c r="H244" s="28"/>
      <c r="I244" s="28"/>
      <c r="J244" s="1"/>
    </row>
    <row r="245" spans="2:10" s="26" customFormat="1" x14ac:dyDescent="0.2">
      <c r="B245" s="3"/>
      <c r="C245" s="3"/>
      <c r="D245" s="27"/>
      <c r="G245" s="28"/>
      <c r="H245" s="28"/>
      <c r="I245" s="28"/>
      <c r="J245" s="1"/>
    </row>
    <row r="246" spans="2:10" s="26" customFormat="1" x14ac:dyDescent="0.2">
      <c r="B246" s="3"/>
      <c r="C246" s="3"/>
      <c r="D246" s="27"/>
      <c r="G246" s="28"/>
      <c r="H246" s="28"/>
      <c r="I246" s="28"/>
      <c r="J246" s="1"/>
    </row>
    <row r="247" spans="2:10" s="26" customFormat="1" x14ac:dyDescent="0.2">
      <c r="B247" s="3"/>
      <c r="C247" s="3"/>
      <c r="D247" s="27"/>
      <c r="G247" s="28"/>
      <c r="H247" s="28"/>
      <c r="I247" s="28"/>
      <c r="J247" s="1"/>
    </row>
    <row r="248" spans="2:10" s="26" customFormat="1" x14ac:dyDescent="0.2">
      <c r="B248" s="3"/>
      <c r="C248" s="3"/>
      <c r="D248" s="27"/>
      <c r="G248" s="28"/>
      <c r="H248" s="28"/>
      <c r="I248" s="28"/>
      <c r="J248" s="1"/>
    </row>
    <row r="249" spans="2:10" s="26" customFormat="1" x14ac:dyDescent="0.2">
      <c r="B249" s="3"/>
      <c r="C249" s="3"/>
      <c r="D249" s="27"/>
      <c r="G249" s="28"/>
      <c r="H249" s="28"/>
      <c r="I249" s="28"/>
      <c r="J249" s="1"/>
    </row>
    <row r="250" spans="2:10" s="26" customFormat="1" x14ac:dyDescent="0.2">
      <c r="B250" s="3"/>
      <c r="C250" s="3"/>
      <c r="D250" s="27"/>
      <c r="G250" s="28"/>
      <c r="H250" s="28"/>
      <c r="I250" s="28"/>
      <c r="J250" s="1"/>
    </row>
    <row r="251" spans="2:10" s="26" customFormat="1" x14ac:dyDescent="0.2">
      <c r="B251" s="3"/>
      <c r="C251" s="3"/>
      <c r="D251" s="27"/>
      <c r="G251" s="28"/>
      <c r="H251" s="28"/>
      <c r="I251" s="28"/>
      <c r="J251" s="1"/>
    </row>
    <row r="252" spans="2:10" s="26" customFormat="1" x14ac:dyDescent="0.2">
      <c r="B252" s="3"/>
      <c r="C252" s="3"/>
      <c r="D252" s="27"/>
      <c r="G252" s="28"/>
      <c r="H252" s="28"/>
      <c r="I252" s="28"/>
      <c r="J252" s="1"/>
    </row>
    <row r="253" spans="2:10" s="26" customFormat="1" x14ac:dyDescent="0.2">
      <c r="B253" s="3"/>
      <c r="C253" s="3"/>
      <c r="D253" s="27"/>
      <c r="G253" s="28"/>
      <c r="H253" s="28"/>
      <c r="I253" s="28"/>
      <c r="J253" s="1"/>
    </row>
    <row r="254" spans="2:10" s="26" customFormat="1" x14ac:dyDescent="0.2">
      <c r="B254" s="3"/>
      <c r="C254" s="3"/>
      <c r="D254" s="27"/>
      <c r="G254" s="28"/>
      <c r="H254" s="28"/>
      <c r="I254" s="28"/>
      <c r="J254" s="1"/>
    </row>
    <row r="255" spans="2:10" s="26" customFormat="1" x14ac:dyDescent="0.2">
      <c r="B255" s="3"/>
      <c r="C255" s="3"/>
      <c r="D255" s="27"/>
      <c r="G255" s="28"/>
      <c r="H255" s="28"/>
      <c r="I255" s="28"/>
      <c r="J255" s="1"/>
    </row>
    <row r="256" spans="2:10" s="26" customFormat="1" x14ac:dyDescent="0.2">
      <c r="B256" s="3"/>
      <c r="C256" s="3"/>
      <c r="D256" s="27"/>
      <c r="G256" s="28"/>
      <c r="H256" s="28"/>
      <c r="I256" s="28"/>
      <c r="J256" s="1"/>
    </row>
    <row r="257" spans="2:10" s="26" customFormat="1" x14ac:dyDescent="0.2">
      <c r="B257" s="3"/>
      <c r="C257" s="3"/>
      <c r="D257" s="27"/>
      <c r="G257" s="28"/>
      <c r="H257" s="28"/>
      <c r="I257" s="28"/>
      <c r="J257" s="1"/>
    </row>
    <row r="258" spans="2:10" s="26" customFormat="1" x14ac:dyDescent="0.2">
      <c r="B258" s="3"/>
      <c r="C258" s="3"/>
      <c r="D258" s="27"/>
      <c r="G258" s="28"/>
      <c r="H258" s="28"/>
      <c r="I258" s="28"/>
      <c r="J258" s="1"/>
    </row>
    <row r="259" spans="2:10" s="26" customFormat="1" x14ac:dyDescent="0.2">
      <c r="B259" s="3"/>
      <c r="C259" s="3"/>
      <c r="D259" s="27"/>
      <c r="G259" s="28"/>
      <c r="H259" s="28"/>
      <c r="I259" s="28"/>
      <c r="J259" s="1"/>
    </row>
    <row r="260" spans="2:10" s="26" customFormat="1" x14ac:dyDescent="0.2">
      <c r="B260" s="3"/>
      <c r="C260" s="3"/>
      <c r="D260" s="27"/>
      <c r="G260" s="28"/>
      <c r="H260" s="28"/>
      <c r="I260" s="28"/>
      <c r="J260" s="1"/>
    </row>
    <row r="261" spans="2:10" s="26" customFormat="1" x14ac:dyDescent="0.2">
      <c r="B261" s="3"/>
      <c r="C261" s="3"/>
      <c r="D261" s="27"/>
      <c r="G261" s="28"/>
      <c r="H261" s="28"/>
      <c r="I261" s="28"/>
      <c r="J261" s="1"/>
    </row>
    <row r="262" spans="2:10" s="26" customFormat="1" x14ac:dyDescent="0.2">
      <c r="B262" s="3"/>
      <c r="C262" s="3"/>
      <c r="D262" s="27"/>
      <c r="G262" s="28"/>
      <c r="H262" s="28"/>
      <c r="I262" s="28"/>
      <c r="J262" s="1"/>
    </row>
    <row r="263" spans="2:10" s="26" customFormat="1" x14ac:dyDescent="0.2">
      <c r="B263" s="3"/>
      <c r="C263" s="3"/>
      <c r="D263" s="27"/>
      <c r="G263" s="28"/>
      <c r="H263" s="28"/>
      <c r="I263" s="28"/>
      <c r="J263" s="1"/>
    </row>
    <row r="264" spans="2:10" s="26" customFormat="1" x14ac:dyDescent="0.2">
      <c r="B264" s="3"/>
      <c r="C264" s="3"/>
      <c r="D264" s="27"/>
      <c r="G264" s="28"/>
      <c r="H264" s="28"/>
      <c r="I264" s="28"/>
      <c r="J264" s="1"/>
    </row>
    <row r="265" spans="2:10" s="26" customFormat="1" x14ac:dyDescent="0.2">
      <c r="B265" s="3"/>
      <c r="C265" s="3"/>
      <c r="D265" s="27"/>
      <c r="G265" s="28"/>
      <c r="H265" s="28"/>
      <c r="I265" s="28"/>
      <c r="J265" s="1"/>
    </row>
    <row r="266" spans="2:10" s="26" customFormat="1" x14ac:dyDescent="0.2">
      <c r="B266" s="3"/>
      <c r="C266" s="3"/>
      <c r="D266" s="27"/>
      <c r="G266" s="28"/>
      <c r="H266" s="28"/>
      <c r="I266" s="28"/>
      <c r="J266" s="1"/>
    </row>
    <row r="267" spans="2:10" s="26" customFormat="1" x14ac:dyDescent="0.2">
      <c r="B267" s="3"/>
      <c r="C267" s="3"/>
      <c r="D267" s="27"/>
      <c r="G267" s="28"/>
      <c r="H267" s="28"/>
      <c r="I267" s="28"/>
      <c r="J267" s="1"/>
    </row>
    <row r="268" spans="2:10" s="26" customFormat="1" x14ac:dyDescent="0.2">
      <c r="B268" s="3"/>
      <c r="C268" s="3"/>
      <c r="D268" s="27"/>
      <c r="G268" s="28"/>
      <c r="H268" s="28"/>
      <c r="I268" s="28"/>
      <c r="J268" s="1"/>
    </row>
    <row r="269" spans="2:10" s="26" customFormat="1" x14ac:dyDescent="0.2">
      <c r="B269" s="3"/>
      <c r="C269" s="3"/>
      <c r="D269" s="27"/>
      <c r="G269" s="28"/>
      <c r="H269" s="28"/>
      <c r="I269" s="28"/>
      <c r="J269" s="1"/>
    </row>
    <row r="270" spans="2:10" s="26" customFormat="1" x14ac:dyDescent="0.2">
      <c r="B270" s="3"/>
      <c r="C270" s="3"/>
      <c r="D270" s="27"/>
      <c r="G270" s="28"/>
      <c r="H270" s="28"/>
      <c r="I270" s="28"/>
      <c r="J270" s="1"/>
    </row>
    <row r="271" spans="2:10" s="26" customFormat="1" x14ac:dyDescent="0.2">
      <c r="B271" s="3"/>
      <c r="C271" s="3"/>
      <c r="D271" s="27"/>
      <c r="G271" s="28"/>
      <c r="H271" s="28"/>
      <c r="I271" s="28"/>
      <c r="J271" s="1"/>
    </row>
    <row r="272" spans="2:10" s="26" customFormat="1" x14ac:dyDescent="0.2">
      <c r="B272" s="3"/>
      <c r="C272" s="3"/>
      <c r="D272" s="27"/>
      <c r="G272" s="28"/>
      <c r="H272" s="28"/>
      <c r="I272" s="28"/>
      <c r="J272" s="1"/>
    </row>
    <row r="273" spans="2:10" s="26" customFormat="1" x14ac:dyDescent="0.2">
      <c r="B273" s="3"/>
      <c r="C273" s="3"/>
      <c r="D273" s="27"/>
      <c r="G273" s="28"/>
      <c r="H273" s="28"/>
      <c r="I273" s="28"/>
      <c r="J273" s="1"/>
    </row>
    <row r="274" spans="2:10" s="26" customFormat="1" x14ac:dyDescent="0.2">
      <c r="B274" s="3"/>
      <c r="C274" s="3"/>
      <c r="D274" s="27"/>
      <c r="G274" s="28"/>
      <c r="H274" s="28"/>
      <c r="I274" s="28"/>
      <c r="J274" s="1"/>
    </row>
    <row r="275" spans="2:10" s="26" customFormat="1" x14ac:dyDescent="0.2">
      <c r="B275" s="3"/>
      <c r="C275" s="3"/>
      <c r="D275" s="27"/>
      <c r="G275" s="28"/>
      <c r="H275" s="28"/>
      <c r="I275" s="28"/>
      <c r="J275" s="1"/>
    </row>
    <row r="276" spans="2:10" s="26" customFormat="1" x14ac:dyDescent="0.2">
      <c r="B276" s="3"/>
      <c r="C276" s="3"/>
      <c r="D276" s="27"/>
      <c r="G276" s="28"/>
      <c r="H276" s="28"/>
      <c r="I276" s="28"/>
      <c r="J276" s="1"/>
    </row>
    <row r="277" spans="2:10" s="26" customFormat="1" x14ac:dyDescent="0.2">
      <c r="B277" s="3"/>
      <c r="C277" s="3"/>
      <c r="D277" s="27"/>
      <c r="G277" s="28"/>
      <c r="H277" s="28"/>
      <c r="I277" s="28"/>
      <c r="J277" s="1"/>
    </row>
    <row r="278" spans="2:10" s="26" customFormat="1" x14ac:dyDescent="0.2">
      <c r="B278" s="3"/>
      <c r="C278" s="3"/>
      <c r="D278" s="27"/>
      <c r="G278" s="28"/>
      <c r="H278" s="28"/>
      <c r="I278" s="28"/>
      <c r="J278" s="1"/>
    </row>
    <row r="279" spans="2:10" s="26" customFormat="1" x14ac:dyDescent="0.2">
      <c r="B279" s="3"/>
      <c r="C279" s="3"/>
      <c r="D279" s="27"/>
      <c r="G279" s="28"/>
      <c r="H279" s="28"/>
      <c r="I279" s="28"/>
      <c r="J279" s="1"/>
    </row>
    <row r="280" spans="2:10" s="26" customFormat="1" x14ac:dyDescent="0.2">
      <c r="B280" s="3"/>
      <c r="C280" s="3"/>
      <c r="D280" s="27"/>
      <c r="G280" s="28"/>
      <c r="H280" s="28"/>
      <c r="I280" s="28"/>
      <c r="J280" s="1"/>
    </row>
    <row r="281" spans="2:10" s="26" customFormat="1" x14ac:dyDescent="0.2">
      <c r="B281" s="3"/>
      <c r="C281" s="3"/>
      <c r="D281" s="27"/>
      <c r="G281" s="28"/>
      <c r="H281" s="28"/>
      <c r="I281" s="28"/>
      <c r="J281" s="1"/>
    </row>
    <row r="282" spans="2:10" s="26" customFormat="1" x14ac:dyDescent="0.2">
      <c r="B282" s="3"/>
      <c r="C282" s="3"/>
      <c r="D282" s="27"/>
      <c r="G282" s="28"/>
      <c r="H282" s="28"/>
      <c r="I282" s="28"/>
      <c r="J282" s="1"/>
    </row>
    <row r="283" spans="2:10" s="26" customFormat="1" x14ac:dyDescent="0.2">
      <c r="B283" s="3"/>
      <c r="C283" s="3"/>
      <c r="D283" s="27"/>
      <c r="G283" s="28"/>
      <c r="H283" s="28"/>
      <c r="I283" s="28"/>
      <c r="J283" s="1"/>
    </row>
    <row r="284" spans="2:10" s="26" customFormat="1" x14ac:dyDescent="0.2">
      <c r="B284" s="3"/>
      <c r="C284" s="3"/>
      <c r="D284" s="27"/>
      <c r="G284" s="28"/>
      <c r="H284" s="28"/>
      <c r="I284" s="28"/>
      <c r="J284" s="1"/>
    </row>
    <row r="285" spans="2:10" s="26" customFormat="1" x14ac:dyDescent="0.2">
      <c r="B285" s="3"/>
      <c r="C285" s="3"/>
      <c r="D285" s="27"/>
      <c r="G285" s="28"/>
      <c r="H285" s="28"/>
      <c r="I285" s="28"/>
      <c r="J285" s="1"/>
    </row>
    <row r="286" spans="2:10" s="26" customFormat="1" x14ac:dyDescent="0.2">
      <c r="B286" s="3"/>
      <c r="C286" s="3"/>
      <c r="D286" s="27"/>
      <c r="G286" s="28"/>
      <c r="H286" s="28"/>
      <c r="I286" s="28"/>
      <c r="J286" s="1"/>
    </row>
    <row r="287" spans="2:10" s="26" customFormat="1" x14ac:dyDescent="0.2">
      <c r="B287" s="3"/>
      <c r="C287" s="3"/>
      <c r="D287" s="27"/>
      <c r="G287" s="28"/>
      <c r="H287" s="28"/>
      <c r="I287" s="28"/>
      <c r="J287" s="1"/>
    </row>
    <row r="288" spans="2:10" s="26" customFormat="1" x14ac:dyDescent="0.2">
      <c r="B288" s="3"/>
      <c r="C288" s="3"/>
      <c r="D288" s="27"/>
      <c r="G288" s="28"/>
      <c r="H288" s="28"/>
      <c r="I288" s="28"/>
      <c r="J288" s="1"/>
    </row>
    <row r="289" spans="2:10" s="26" customFormat="1" x14ac:dyDescent="0.2">
      <c r="B289" s="3"/>
      <c r="C289" s="3"/>
      <c r="D289" s="27"/>
      <c r="G289" s="28"/>
      <c r="H289" s="28"/>
      <c r="I289" s="28"/>
      <c r="J289" s="1"/>
    </row>
    <row r="290" spans="2:10" s="26" customFormat="1" x14ac:dyDescent="0.2">
      <c r="B290" s="3"/>
      <c r="C290" s="3"/>
      <c r="D290" s="27"/>
      <c r="G290" s="28"/>
      <c r="H290" s="28"/>
      <c r="I290" s="28"/>
      <c r="J290" s="1"/>
    </row>
    <row r="291" spans="2:10" s="26" customFormat="1" x14ac:dyDescent="0.2">
      <c r="B291" s="3"/>
      <c r="C291" s="3"/>
      <c r="D291" s="27"/>
      <c r="G291" s="28"/>
      <c r="H291" s="28"/>
      <c r="I291" s="28"/>
      <c r="J291" s="1"/>
    </row>
    <row r="292" spans="2:10" s="26" customFormat="1" x14ac:dyDescent="0.2">
      <c r="B292" s="3"/>
      <c r="C292" s="3"/>
      <c r="D292" s="27"/>
      <c r="G292" s="28"/>
      <c r="H292" s="28"/>
      <c r="I292" s="28"/>
      <c r="J292" s="1"/>
    </row>
    <row r="293" spans="2:10" s="26" customFormat="1" x14ac:dyDescent="0.2">
      <c r="B293" s="3"/>
      <c r="C293" s="3"/>
      <c r="D293" s="27"/>
      <c r="G293" s="28"/>
      <c r="H293" s="28"/>
      <c r="I293" s="28"/>
      <c r="J293" s="1"/>
    </row>
    <row r="294" spans="2:10" s="26" customFormat="1" x14ac:dyDescent="0.2">
      <c r="B294" s="3"/>
      <c r="C294" s="3"/>
      <c r="D294" s="27"/>
      <c r="G294" s="28"/>
      <c r="H294" s="28"/>
      <c r="I294" s="28"/>
      <c r="J294" s="1"/>
    </row>
    <row r="295" spans="2:10" s="26" customFormat="1" x14ac:dyDescent="0.2">
      <c r="B295" s="3"/>
      <c r="C295" s="3"/>
      <c r="D295" s="27"/>
      <c r="G295" s="28"/>
      <c r="H295" s="28"/>
      <c r="I295" s="28"/>
      <c r="J295" s="1"/>
    </row>
    <row r="296" spans="2:10" s="26" customFormat="1" x14ac:dyDescent="0.2">
      <c r="B296" s="3"/>
      <c r="C296" s="3"/>
      <c r="D296" s="27"/>
      <c r="G296" s="28"/>
      <c r="H296" s="28"/>
      <c r="I296" s="28"/>
      <c r="J296" s="1"/>
    </row>
    <row r="297" spans="2:10" s="26" customFormat="1" x14ac:dyDescent="0.2">
      <c r="B297" s="3"/>
      <c r="C297" s="3"/>
      <c r="D297" s="27"/>
      <c r="G297" s="28"/>
      <c r="H297" s="28"/>
      <c r="I297" s="28"/>
      <c r="J297" s="1"/>
    </row>
    <row r="298" spans="2:10" s="26" customFormat="1" x14ac:dyDescent="0.2">
      <c r="B298" s="3"/>
      <c r="C298" s="3"/>
      <c r="D298" s="27"/>
      <c r="G298" s="28"/>
      <c r="H298" s="28"/>
      <c r="I298" s="28"/>
      <c r="J298" s="1"/>
    </row>
    <row r="299" spans="2:10" s="26" customFormat="1" x14ac:dyDescent="0.2">
      <c r="B299" s="3"/>
      <c r="C299" s="3"/>
      <c r="D299" s="27"/>
      <c r="G299" s="28"/>
      <c r="H299" s="28"/>
      <c r="I299" s="28"/>
      <c r="J299" s="1"/>
    </row>
    <row r="300" spans="2:10" s="26" customFormat="1" x14ac:dyDescent="0.2">
      <c r="B300" s="3"/>
      <c r="C300" s="3"/>
      <c r="D300" s="27"/>
      <c r="G300" s="28"/>
      <c r="H300" s="28"/>
      <c r="I300" s="28"/>
      <c r="J300" s="1"/>
    </row>
    <row r="301" spans="2:10" s="26" customFormat="1" x14ac:dyDescent="0.2">
      <c r="B301" s="3"/>
      <c r="C301" s="3"/>
      <c r="D301" s="27"/>
      <c r="G301" s="28"/>
      <c r="H301" s="28"/>
      <c r="I301" s="28"/>
      <c r="J301" s="1"/>
    </row>
    <row r="302" spans="2:10" s="26" customFormat="1" x14ac:dyDescent="0.2">
      <c r="B302" s="3"/>
      <c r="C302" s="3"/>
      <c r="D302" s="27"/>
      <c r="G302" s="28"/>
      <c r="H302" s="28"/>
      <c r="I302" s="28"/>
      <c r="J302" s="1"/>
    </row>
    <row r="303" spans="2:10" s="26" customFormat="1" x14ac:dyDescent="0.2">
      <c r="B303" s="3"/>
      <c r="C303" s="3"/>
      <c r="D303" s="27"/>
      <c r="G303" s="28"/>
      <c r="H303" s="28"/>
      <c r="I303" s="28"/>
      <c r="J303" s="1"/>
    </row>
    <row r="304" spans="2:10" s="26" customFormat="1" x14ac:dyDescent="0.2">
      <c r="B304" s="3"/>
      <c r="C304" s="3"/>
      <c r="D304" s="27"/>
      <c r="G304" s="28"/>
      <c r="H304" s="28"/>
      <c r="I304" s="28"/>
      <c r="J304" s="1"/>
    </row>
    <row r="305" spans="2:10" s="26" customFormat="1" x14ac:dyDescent="0.2">
      <c r="B305" s="3"/>
      <c r="C305" s="3"/>
      <c r="D305" s="27"/>
      <c r="G305" s="28"/>
      <c r="H305" s="28"/>
      <c r="I305" s="28"/>
      <c r="J305" s="1"/>
    </row>
    <row r="306" spans="2:10" s="26" customFormat="1" x14ac:dyDescent="0.2">
      <c r="B306" s="3"/>
      <c r="C306" s="3"/>
      <c r="D306" s="27"/>
      <c r="G306" s="28"/>
      <c r="H306" s="28"/>
      <c r="I306" s="28"/>
      <c r="J306" s="1"/>
    </row>
    <row r="307" spans="2:10" s="26" customFormat="1" x14ac:dyDescent="0.2">
      <c r="B307" s="3"/>
      <c r="C307" s="3"/>
      <c r="D307" s="27"/>
      <c r="G307" s="28"/>
      <c r="H307" s="28"/>
      <c r="I307" s="28"/>
      <c r="J307" s="1"/>
    </row>
    <row r="308" spans="2:10" s="26" customFormat="1" x14ac:dyDescent="0.2">
      <c r="B308" s="3"/>
      <c r="C308" s="3"/>
      <c r="D308" s="27"/>
      <c r="G308" s="28"/>
      <c r="H308" s="28"/>
      <c r="I308" s="28"/>
      <c r="J308" s="1"/>
    </row>
    <row r="309" spans="2:10" s="26" customFormat="1" x14ac:dyDescent="0.2">
      <c r="B309" s="3"/>
      <c r="C309" s="3"/>
      <c r="D309" s="27"/>
      <c r="G309" s="28"/>
      <c r="H309" s="28"/>
      <c r="I309" s="28"/>
      <c r="J309" s="1"/>
    </row>
    <row r="310" spans="2:10" s="26" customFormat="1" x14ac:dyDescent="0.2">
      <c r="B310" s="3"/>
      <c r="C310" s="3"/>
      <c r="D310" s="27"/>
      <c r="G310" s="28"/>
      <c r="H310" s="28"/>
      <c r="I310" s="28"/>
      <c r="J310" s="1"/>
    </row>
    <row r="311" spans="2:10" s="26" customFormat="1" x14ac:dyDescent="0.2">
      <c r="B311" s="3"/>
      <c r="C311" s="3"/>
      <c r="D311" s="27"/>
      <c r="G311" s="28"/>
      <c r="H311" s="28"/>
      <c r="I311" s="28"/>
      <c r="J311" s="1"/>
    </row>
    <row r="312" spans="2:10" s="26" customFormat="1" x14ac:dyDescent="0.2">
      <c r="B312" s="3"/>
      <c r="C312" s="3"/>
      <c r="D312" s="27"/>
      <c r="G312" s="28"/>
      <c r="H312" s="28"/>
      <c r="I312" s="28"/>
      <c r="J312" s="1"/>
    </row>
    <row r="313" spans="2:10" s="26" customFormat="1" x14ac:dyDescent="0.2">
      <c r="B313" s="3"/>
      <c r="C313" s="3"/>
      <c r="D313" s="27"/>
      <c r="G313" s="28"/>
      <c r="H313" s="28"/>
      <c r="I313" s="28"/>
      <c r="J313" s="1"/>
    </row>
    <row r="314" spans="2:10" s="26" customFormat="1" x14ac:dyDescent="0.2">
      <c r="B314" s="3"/>
      <c r="C314" s="3"/>
      <c r="D314" s="27"/>
      <c r="G314" s="28"/>
      <c r="H314" s="28"/>
      <c r="I314" s="28"/>
      <c r="J314" s="1"/>
    </row>
    <row r="315" spans="2:10" s="26" customFormat="1" x14ac:dyDescent="0.2">
      <c r="B315" s="3"/>
      <c r="C315" s="3"/>
      <c r="D315" s="27"/>
      <c r="G315" s="28"/>
      <c r="H315" s="28"/>
      <c r="I315" s="28"/>
      <c r="J315" s="1"/>
    </row>
    <row r="316" spans="2:10" s="26" customFormat="1" x14ac:dyDescent="0.2">
      <c r="B316" s="3"/>
      <c r="C316" s="3"/>
      <c r="D316" s="27"/>
      <c r="G316" s="28"/>
      <c r="H316" s="28"/>
      <c r="I316" s="28"/>
      <c r="J316" s="1"/>
    </row>
    <row r="317" spans="2:10" s="26" customFormat="1" x14ac:dyDescent="0.2">
      <c r="B317" s="3"/>
      <c r="C317" s="3"/>
      <c r="D317" s="27"/>
      <c r="G317" s="28"/>
      <c r="H317" s="28"/>
      <c r="I317" s="28"/>
      <c r="J317" s="1"/>
    </row>
    <row r="318" spans="2:10" s="26" customFormat="1" x14ac:dyDescent="0.2">
      <c r="B318" s="3"/>
      <c r="C318" s="3"/>
      <c r="D318" s="27"/>
      <c r="G318" s="28"/>
      <c r="H318" s="28"/>
      <c r="I318" s="28"/>
      <c r="J318" s="1"/>
    </row>
    <row r="319" spans="2:10" s="26" customFormat="1" x14ac:dyDescent="0.2">
      <c r="B319" s="3"/>
      <c r="C319" s="3"/>
      <c r="D319" s="27"/>
      <c r="G319" s="28"/>
      <c r="H319" s="28"/>
      <c r="I319" s="28"/>
      <c r="J319" s="1"/>
    </row>
    <row r="320" spans="2:10" s="26" customFormat="1" x14ac:dyDescent="0.2">
      <c r="B320" s="3"/>
      <c r="C320" s="3"/>
      <c r="D320" s="27"/>
      <c r="G320" s="28"/>
      <c r="H320" s="28"/>
      <c r="I320" s="28"/>
      <c r="J320" s="1"/>
    </row>
    <row r="321" spans="2:10" s="26" customFormat="1" x14ac:dyDescent="0.2">
      <c r="B321" s="3"/>
      <c r="C321" s="3"/>
      <c r="D321" s="27"/>
      <c r="G321" s="28"/>
      <c r="H321" s="28"/>
      <c r="I321" s="28"/>
      <c r="J321" s="1"/>
    </row>
    <row r="322" spans="2:10" s="26" customFormat="1" x14ac:dyDescent="0.2">
      <c r="B322" s="3"/>
      <c r="C322" s="3"/>
      <c r="D322" s="27"/>
      <c r="G322" s="28"/>
      <c r="H322" s="28"/>
      <c r="I322" s="28"/>
      <c r="J322" s="1"/>
    </row>
    <row r="323" spans="2:10" s="26" customFormat="1" x14ac:dyDescent="0.2">
      <c r="B323" s="3"/>
      <c r="C323" s="3"/>
      <c r="D323" s="27"/>
      <c r="G323" s="28"/>
      <c r="H323" s="28"/>
      <c r="I323" s="28"/>
      <c r="J323" s="1"/>
    </row>
    <row r="324" spans="2:10" s="26" customFormat="1" x14ac:dyDescent="0.2">
      <c r="B324" s="3"/>
      <c r="C324" s="3"/>
      <c r="D324" s="27"/>
      <c r="G324" s="28"/>
      <c r="H324" s="28"/>
      <c r="I324" s="28"/>
      <c r="J324" s="1"/>
    </row>
    <row r="325" spans="2:10" s="26" customFormat="1" x14ac:dyDescent="0.2">
      <c r="B325" s="3"/>
      <c r="C325" s="3"/>
      <c r="D325" s="27"/>
      <c r="G325" s="28"/>
      <c r="H325" s="28"/>
      <c r="I325" s="28"/>
      <c r="J325" s="1"/>
    </row>
    <row r="326" spans="2:10" s="26" customFormat="1" x14ac:dyDescent="0.2">
      <c r="B326" s="3"/>
      <c r="C326" s="3"/>
      <c r="D326" s="27"/>
      <c r="G326" s="28"/>
      <c r="H326" s="28"/>
      <c r="I326" s="28"/>
      <c r="J326" s="1"/>
    </row>
    <row r="327" spans="2:10" s="26" customFormat="1" x14ac:dyDescent="0.2">
      <c r="B327" s="3"/>
      <c r="C327" s="3"/>
      <c r="D327" s="27"/>
      <c r="G327" s="28"/>
      <c r="H327" s="28"/>
      <c r="I327" s="28"/>
      <c r="J327" s="1"/>
    </row>
    <row r="328" spans="2:10" s="26" customFormat="1" x14ac:dyDescent="0.2">
      <c r="B328" s="3"/>
      <c r="C328" s="3"/>
      <c r="D328" s="27"/>
      <c r="G328" s="28"/>
      <c r="H328" s="28"/>
      <c r="I328" s="28"/>
      <c r="J328" s="1"/>
    </row>
    <row r="329" spans="2:10" s="26" customFormat="1" x14ac:dyDescent="0.2">
      <c r="B329" s="3"/>
      <c r="C329" s="3"/>
      <c r="D329" s="27"/>
      <c r="G329" s="28"/>
      <c r="H329" s="28"/>
      <c r="I329" s="28"/>
      <c r="J329" s="1"/>
    </row>
    <row r="330" spans="2:10" s="26" customFormat="1" x14ac:dyDescent="0.2">
      <c r="B330" s="3"/>
      <c r="C330" s="3"/>
      <c r="D330" s="27"/>
      <c r="G330" s="28"/>
      <c r="H330" s="28"/>
      <c r="I330" s="28"/>
      <c r="J330" s="1"/>
    </row>
    <row r="331" spans="2:10" s="26" customFormat="1" x14ac:dyDescent="0.2">
      <c r="B331" s="3"/>
      <c r="C331" s="3"/>
      <c r="D331" s="27"/>
      <c r="G331" s="28"/>
      <c r="H331" s="28"/>
      <c r="I331" s="28"/>
      <c r="J331" s="1"/>
    </row>
  </sheetData>
  <mergeCells count="36">
    <mergeCell ref="B40:C40"/>
    <mergeCell ref="B55:C55"/>
    <mergeCell ref="B63:C63"/>
    <mergeCell ref="B70:C70"/>
    <mergeCell ref="B83:C83"/>
    <mergeCell ref="B71:C71"/>
    <mergeCell ref="B80:C80"/>
    <mergeCell ref="B81:C81"/>
    <mergeCell ref="B82:C82"/>
    <mergeCell ref="A1:I1"/>
    <mergeCell ref="A92:I92"/>
    <mergeCell ref="B103:C103"/>
    <mergeCell ref="A2:I2"/>
    <mergeCell ref="B13:C13"/>
    <mergeCell ref="B23:C23"/>
    <mergeCell ref="B36:C36"/>
    <mergeCell ref="B37:C37"/>
    <mergeCell ref="B38:C38"/>
    <mergeCell ref="B39:C39"/>
    <mergeCell ref="B128:C128"/>
    <mergeCell ref="B149:C149"/>
    <mergeCell ref="B157:C157"/>
    <mergeCell ref="B112:C112"/>
    <mergeCell ref="B124:C124"/>
    <mergeCell ref="B125:C125"/>
    <mergeCell ref="B126:C126"/>
    <mergeCell ref="A182:I182"/>
    <mergeCell ref="B174:C174"/>
    <mergeCell ref="B175:C175"/>
    <mergeCell ref="A42:I42"/>
    <mergeCell ref="A136:I136"/>
    <mergeCell ref="B164:C164"/>
    <mergeCell ref="B165:C165"/>
    <mergeCell ref="B172:C172"/>
    <mergeCell ref="B173:C173"/>
    <mergeCell ref="B127:C127"/>
  </mergeCells>
  <phoneticPr fontId="0" type="noConversion"/>
  <pageMargins left="0.48" right="0.48" top="0.56000000000000005" bottom="0.43" header="0.17" footer="0.2"/>
  <pageSetup scale="93" orientation="landscape" verticalDpi="0" r:id="rId1"/>
  <headerFooter alignWithMargins="0">
    <oddFooter>&amp;C&amp;"Garamond,Regular"&amp;12D-&amp;P</oddFooter>
  </headerFooter>
  <rowBreaks count="3" manualBreakCount="3">
    <brk id="41" max="8" man="1"/>
    <brk id="90" max="16383" man="1"/>
    <brk id="17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UF &amp; FSU - E&amp;G PLI +HEPI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goodwin.kristina</dc:creator>
  <cp:lastModifiedBy>Mikyska, Michelle</cp:lastModifiedBy>
  <cp:lastPrinted>2003-09-30T14:07:06Z</cp:lastPrinted>
  <dcterms:created xsi:type="dcterms:W3CDTF">2003-09-29T20:45:56Z</dcterms:created>
  <dcterms:modified xsi:type="dcterms:W3CDTF">2023-10-23T17:00:07Z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1680730948</vt:i4>
  </property>
  <property fmtid="{D5CDD505-2E9C-101B-9397-08002B2CF9AE}" pid="3" name="_EmailSubject">
    <vt:lpwstr>university study</vt:lpwstr>
  </property>
  <property fmtid="{D5CDD505-2E9C-101B-9397-08002B2CF9AE}" pid="4" name="_AuthorEmail">
    <vt:lpwstr>MCKEE.NANCY@leg.state.fl.us</vt:lpwstr>
  </property>
  <property fmtid="{D5CDD505-2E9C-101B-9397-08002B2CF9AE}" pid="5" name="_AuthorEmailDisplayName">
    <vt:lpwstr>MCKEE.NANCY</vt:lpwstr>
  </property>
  <property fmtid="{D5CDD505-2E9C-101B-9397-08002B2CF9AE}" pid="6" name="_ReviewingToolsShownOnce">
    <vt:lpwstr/>
  </property>
</Properties>
</file>